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9B06274-32FE-4077-815A-FD91A121176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MATRIZ Y CARGAS  PP-CU" sheetId="49" r:id="rId1"/>
    <sheet name="Área Útil" sheetId="34" r:id="rId2"/>
    <sheet name="ÁREAS EXISTENTES" sheetId="46" r:id="rId3"/>
    <sheet name="ÁREAS GENERALES" sheetId="48" r:id="rId4"/>
  </sheets>
  <externalReferences>
    <externalReference r:id="rId5"/>
  </externalReferences>
  <definedNames>
    <definedName name="CDC">#REF!</definedName>
    <definedName name="ESTACON">#REF!</definedName>
  </definedNames>
  <calcPr calcId="191029"/>
</workbook>
</file>

<file path=xl/calcChain.xml><?xml version="1.0" encoding="utf-8"?>
<calcChain xmlns="http://schemas.openxmlformats.org/spreadsheetml/2006/main">
  <c r="J74" i="49" l="1"/>
  <c r="J69" i="49"/>
  <c r="J68" i="49"/>
  <c r="J67" i="49"/>
  <c r="J66" i="49"/>
  <c r="K63" i="49"/>
  <c r="J63" i="49"/>
  <c r="K53" i="49"/>
  <c r="J58" i="49"/>
  <c r="K58" i="49"/>
  <c r="K51" i="49"/>
  <c r="J51" i="49"/>
  <c r="K43" i="49"/>
  <c r="J43" i="49"/>
  <c r="E19" i="49"/>
  <c r="G19" i="49"/>
  <c r="J19" i="49"/>
  <c r="J37" i="49"/>
  <c r="K25" i="49"/>
  <c r="J25" i="49"/>
  <c r="E25" i="49"/>
  <c r="G25" i="49"/>
  <c r="J21" i="49"/>
  <c r="G66" i="49"/>
  <c r="E66" i="49"/>
  <c r="E65" i="49" s="1"/>
  <c r="G65" i="49" s="1"/>
  <c r="E40" i="49"/>
  <c r="E39" i="49"/>
  <c r="E43" i="49" s="1"/>
  <c r="E32" i="49"/>
  <c r="G32" i="49" s="1"/>
  <c r="E31" i="49"/>
  <c r="E30" i="49" s="1"/>
  <c r="E23" i="49"/>
  <c r="E28" i="49"/>
  <c r="E17" i="49"/>
  <c r="J17" i="49" s="1"/>
  <c r="K17" i="49" s="1"/>
  <c r="E22" i="49"/>
  <c r="J61" i="49"/>
  <c r="K61" i="49" s="1"/>
  <c r="C10" i="46"/>
  <c r="J46" i="49"/>
  <c r="J32" i="49" l="1"/>
  <c r="K32" i="49" s="1"/>
  <c r="E16" i="49"/>
  <c r="G17" i="49"/>
  <c r="J16" i="49"/>
  <c r="J137" i="49" l="1"/>
  <c r="K137" i="49" s="1"/>
  <c r="J81" i="49" l="1"/>
  <c r="J80" i="49"/>
  <c r="J101" i="49"/>
  <c r="J100" i="49"/>
  <c r="K100" i="49" s="1"/>
  <c r="J83" i="49"/>
  <c r="K83" i="49" s="1"/>
  <c r="J82" i="49"/>
  <c r="J99" i="49"/>
  <c r="K99" i="49" s="1"/>
  <c r="J98" i="49"/>
  <c r="K98" i="49" s="1"/>
  <c r="J96" i="49"/>
  <c r="K96" i="49" s="1"/>
  <c r="J91" i="49"/>
  <c r="J118" i="49" s="1"/>
  <c r="J90" i="49"/>
  <c r="J117" i="49" s="1"/>
  <c r="J89" i="49"/>
  <c r="J116" i="49" s="1"/>
  <c r="G16" i="49"/>
  <c r="G30" i="49"/>
  <c r="G39" i="49"/>
  <c r="G40" i="49"/>
  <c r="G41" i="49"/>
  <c r="J119" i="49"/>
  <c r="J111" i="49"/>
  <c r="K81" i="49"/>
  <c r="I69" i="49"/>
  <c r="I68" i="49"/>
  <c r="I66" i="49"/>
  <c r="J65" i="49"/>
  <c r="I62" i="49"/>
  <c r="J62" i="49" s="1"/>
  <c r="J48" i="49"/>
  <c r="J39" i="49"/>
  <c r="J38" i="49"/>
  <c r="G35" i="49"/>
  <c r="E34" i="49"/>
  <c r="G28" i="49"/>
  <c r="I27" i="49"/>
  <c r="G27" i="49"/>
  <c r="J14" i="49"/>
  <c r="J13" i="49" s="1"/>
  <c r="G14" i="49"/>
  <c r="E13" i="49"/>
  <c r="J11" i="49"/>
  <c r="G11" i="49"/>
  <c r="I10" i="49"/>
  <c r="E10" i="49"/>
  <c r="J8" i="49"/>
  <c r="J73" i="49" s="1"/>
  <c r="D15" i="34"/>
  <c r="D14" i="34"/>
  <c r="D12" i="34"/>
  <c r="C17" i="34" s="1"/>
  <c r="D13" i="34"/>
  <c r="G34" i="49" l="1"/>
  <c r="K14" i="49"/>
  <c r="K13" i="49" s="1"/>
  <c r="G13" i="49"/>
  <c r="J127" i="49"/>
  <c r="J135" i="49" s="1"/>
  <c r="G10" i="49"/>
  <c r="J76" i="49"/>
  <c r="K76" i="49" s="1"/>
  <c r="K119" i="49"/>
  <c r="G70" i="49"/>
  <c r="K45" i="49"/>
  <c r="K46" i="49"/>
  <c r="K48" i="49"/>
  <c r="E21" i="49"/>
  <c r="J23" i="49"/>
  <c r="K117" i="49"/>
  <c r="K47" i="49"/>
  <c r="J22" i="49"/>
  <c r="J27" i="49"/>
  <c r="K27" i="49" s="1"/>
  <c r="K50" i="49"/>
  <c r="K90" i="49"/>
  <c r="J41" i="49"/>
  <c r="J28" i="49"/>
  <c r="E26" i="49"/>
  <c r="J10" i="49"/>
  <c r="J35" i="49"/>
  <c r="K65" i="49"/>
  <c r="K116" i="49"/>
  <c r="G31" i="49"/>
  <c r="J31" i="49"/>
  <c r="J30" i="49" s="1"/>
  <c r="K30" i="49" s="1"/>
  <c r="J60" i="49"/>
  <c r="G60" i="49"/>
  <c r="K82" i="49"/>
  <c r="K91" i="49"/>
  <c r="J110" i="49"/>
  <c r="J40" i="49"/>
  <c r="J125" i="49"/>
  <c r="J124" i="49"/>
  <c r="K39" i="49"/>
  <c r="K80" i="49"/>
  <c r="K89" i="49"/>
  <c r="D5" i="34"/>
  <c r="C24" i="48"/>
  <c r="C22" i="48"/>
  <c r="C6" i="48"/>
  <c r="D8" i="46"/>
  <c r="C8" i="46"/>
  <c r="C6" i="46"/>
  <c r="K40" i="49" l="1"/>
  <c r="K127" i="49"/>
  <c r="G62" i="49"/>
  <c r="G43" i="49"/>
  <c r="K23" i="49"/>
  <c r="K124" i="49"/>
  <c r="K66" i="49"/>
  <c r="K69" i="49"/>
  <c r="K62" i="49"/>
  <c r="J132" i="49"/>
  <c r="K132" i="49" s="1"/>
  <c r="K10" i="49"/>
  <c r="K11" i="49"/>
  <c r="K41" i="49"/>
  <c r="K31" i="49"/>
  <c r="K60" i="49"/>
  <c r="K22" i="49"/>
  <c r="K16" i="49"/>
  <c r="G26" i="49"/>
  <c r="K67" i="49"/>
  <c r="K68" i="49"/>
  <c r="J34" i="49"/>
  <c r="K34" i="49" s="1"/>
  <c r="K35" i="49"/>
  <c r="K28" i="49"/>
  <c r="J26" i="49"/>
  <c r="K125" i="49"/>
  <c r="J133" i="49"/>
  <c r="K133" i="49" s="1"/>
  <c r="K135" i="49"/>
  <c r="G21" i="49"/>
  <c r="C15" i="48"/>
  <c r="K19" i="49" l="1"/>
  <c r="K70" i="49"/>
  <c r="K71" i="49" s="1"/>
  <c r="K21" i="49"/>
  <c r="K26" i="49"/>
  <c r="G37" i="49"/>
  <c r="E37" i="49"/>
  <c r="J70" i="49"/>
  <c r="C18" i="48"/>
  <c r="C17" i="48" s="1"/>
  <c r="C13" i="48"/>
  <c r="C11" i="48"/>
  <c r="C9" i="48"/>
  <c r="D9" i="48" s="1"/>
  <c r="J71" i="49" l="1"/>
  <c r="K37" i="49"/>
  <c r="K49" i="49"/>
  <c r="C21" i="48"/>
  <c r="D24" i="48"/>
  <c r="C10" i="48"/>
  <c r="D22" i="48"/>
  <c r="J53" i="49" l="1"/>
  <c r="J55" i="49" s="1"/>
  <c r="C19" i="34"/>
  <c r="C18" i="34" s="1"/>
  <c r="J54" i="49" l="1"/>
  <c r="C23" i="34"/>
  <c r="C20" i="34"/>
  <c r="C15" i="46"/>
  <c r="J56" i="49" l="1"/>
  <c r="K56" i="49" s="1"/>
  <c r="K55" i="49"/>
  <c r="K54" i="49"/>
  <c r="J57" i="49"/>
  <c r="K57" i="49" s="1"/>
  <c r="D15" i="46"/>
  <c r="D25" i="34"/>
  <c r="D28" i="34" s="1"/>
  <c r="E23" i="34"/>
  <c r="C21" i="34"/>
  <c r="C22" i="34"/>
  <c r="D10" i="46"/>
  <c r="D6" i="46"/>
  <c r="D27" i="34" l="1"/>
  <c r="K74" i="49" l="1"/>
  <c r="C34" i="34"/>
  <c r="C33" i="34" s="1"/>
  <c r="C38" i="34" s="1"/>
  <c r="C29" i="34"/>
  <c r="C73" i="34"/>
  <c r="J88" i="49" s="1"/>
  <c r="C60" i="34"/>
  <c r="J87" i="49" s="1"/>
  <c r="C47" i="34"/>
  <c r="K87" i="49" l="1"/>
  <c r="J114" i="49"/>
  <c r="K88" i="49"/>
  <c r="J115" i="49"/>
  <c r="J97" i="49"/>
  <c r="K97" i="49" s="1"/>
  <c r="J86" i="49"/>
  <c r="C6" i="34"/>
  <c r="C35" i="34"/>
  <c r="C37" i="34" s="1"/>
  <c r="E38" i="34"/>
  <c r="D40" i="34"/>
  <c r="C75" i="34"/>
  <c r="C76" i="34" s="1"/>
  <c r="J113" i="49" l="1"/>
  <c r="J85" i="49"/>
  <c r="J138" i="49" s="1"/>
  <c r="K85" i="49"/>
  <c r="K86" i="49"/>
  <c r="C36" i="34"/>
  <c r="D43" i="34"/>
  <c r="D42" i="34"/>
  <c r="C78" i="34"/>
  <c r="C74" i="34" s="1"/>
  <c r="C77" i="34"/>
  <c r="K138" i="49" l="1"/>
  <c r="J140" i="49"/>
  <c r="J141" i="49" s="1"/>
  <c r="J121" i="49"/>
  <c r="J129" i="49" s="1"/>
  <c r="C44" i="34"/>
  <c r="C45" i="34" s="1"/>
  <c r="C79" i="34"/>
  <c r="E79" i="34" l="1"/>
  <c r="D82" i="34"/>
  <c r="D81" i="34"/>
  <c r="C9" i="34"/>
  <c r="C83" i="34" l="1"/>
  <c r="C84" i="34" s="1"/>
  <c r="C30" i="34"/>
  <c r="C49" i="34" l="1"/>
  <c r="C62" i="34"/>
  <c r="C63" i="34" l="1"/>
  <c r="C64" i="34" s="1"/>
  <c r="C61" i="34"/>
  <c r="C50" i="34"/>
  <c r="C51" i="34" s="1"/>
  <c r="C65" i="34" l="1"/>
  <c r="C52" i="34"/>
  <c r="C66" i="34"/>
  <c r="C48" i="34" l="1"/>
  <c r="C53" i="34" s="1"/>
  <c r="D68" i="34"/>
  <c r="D69" i="34"/>
  <c r="E66" i="34"/>
  <c r="D56" i="34" l="1"/>
  <c r="J95" i="49"/>
  <c r="C7" i="34"/>
  <c r="E53" i="34"/>
  <c r="D55" i="34"/>
  <c r="C70" i="34"/>
  <c r="C71" i="34" s="1"/>
  <c r="K95" i="49" l="1"/>
  <c r="J94" i="49"/>
  <c r="K94" i="49" s="1"/>
  <c r="C57" i="34"/>
  <c r="C58" i="34" s="1"/>
  <c r="D86" i="34" s="1"/>
  <c r="E15" i="34" l="1"/>
  <c r="E12" i="34"/>
  <c r="E13" i="34"/>
  <c r="E14" i="34"/>
  <c r="K113" i="49" l="1"/>
  <c r="J122" i="49"/>
  <c r="K122" i="49" s="1"/>
  <c r="J130" i="49"/>
  <c r="K130" i="49" s="1"/>
  <c r="K114" i="49"/>
  <c r="K121" i="49" l="1"/>
  <c r="K129" i="49"/>
  <c r="J123" i="49"/>
  <c r="K123" i="49" s="1"/>
  <c r="K115" i="49"/>
  <c r="J131" i="49" l="1"/>
  <c r="K131" i="49" s="1"/>
  <c r="K118" i="49"/>
  <c r="J126" i="49"/>
  <c r="J112" i="49"/>
  <c r="K112" i="49" s="1"/>
  <c r="K126" i="49" l="1"/>
  <c r="J134" i="49"/>
  <c r="J120" i="49"/>
  <c r="K120" i="49" s="1"/>
  <c r="K134" i="49" l="1"/>
  <c r="J128" i="49"/>
  <c r="K128" i="49" l="1"/>
  <c r="J142" i="49"/>
  <c r="K140" i="49"/>
  <c r="J143" i="49" l="1"/>
  <c r="K142" i="49"/>
  <c r="K141" i="49"/>
  <c r="K143" i="49" l="1"/>
</calcChain>
</file>

<file path=xl/sharedStrings.xml><?xml version="1.0" encoding="utf-8"?>
<sst xmlns="http://schemas.openxmlformats.org/spreadsheetml/2006/main" count="316" uniqueCount="189">
  <si>
    <t>ÁREA m2</t>
  </si>
  <si>
    <t>AREA UTIL</t>
  </si>
  <si>
    <t>ÁREA BRUTA</t>
  </si>
  <si>
    <t>ÁREA NETA URBANIZABLE</t>
  </si>
  <si>
    <t>CESIONES</t>
  </si>
  <si>
    <t>MALLA VIAL LOCAL</t>
  </si>
  <si>
    <t>Manzana 1</t>
  </si>
  <si>
    <t>Manzana 2</t>
  </si>
  <si>
    <t>ÁREA TOTAL m2</t>
  </si>
  <si>
    <t xml:space="preserve"> %</t>
  </si>
  <si>
    <t>ÁREA ÚTIL</t>
  </si>
  <si>
    <t>ÁREA TOTAL CONSTRUIDA</t>
  </si>
  <si>
    <t>ÁREA OCUPADA EN PRIMER PISO</t>
  </si>
  <si>
    <t>ALTURA MÁXIMA</t>
  </si>
  <si>
    <t>ÁREA CONSTRUIDA</t>
  </si>
  <si>
    <t>Estacionamientos</t>
  </si>
  <si>
    <t>Sótanos</t>
  </si>
  <si>
    <t>ÁREA NO VENDIBLE</t>
  </si>
  <si>
    <t>Circulaciones</t>
  </si>
  <si>
    <t xml:space="preserve">Áreas Verdes </t>
  </si>
  <si>
    <t>Áreas Construidas</t>
  </si>
  <si>
    <t>ÁREA VENDIBLE</t>
  </si>
  <si>
    <t>Unidades</t>
  </si>
  <si>
    <t xml:space="preserve">ÍNDICE DE CONSTRUCCIÓN </t>
  </si>
  <si>
    <t xml:space="preserve">ÍNDICE DE OCUPACIÓN </t>
  </si>
  <si>
    <t>MALLA VIAL ARTERIAL</t>
  </si>
  <si>
    <t>Avenida Ferrocarril de Occidente</t>
  </si>
  <si>
    <t>Avenida de La Esperanza</t>
  </si>
  <si>
    <t>Espacio Público</t>
  </si>
  <si>
    <t>USOS PROPUESTOS</t>
  </si>
  <si>
    <t>VIVIENDA</t>
  </si>
  <si>
    <t>COMERCIO</t>
  </si>
  <si>
    <t>Área Prom</t>
  </si>
  <si>
    <t>Área Requerida Para Estacionamientos (m2)</t>
  </si>
  <si>
    <t>Exigencia</t>
  </si>
  <si>
    <t>Cupos</t>
  </si>
  <si>
    <t>Equipamiento Comunal Privado (10 x Cada 80)</t>
  </si>
  <si>
    <t>Equipamiento Comunal Privado 10 x Cada 120)</t>
  </si>
  <si>
    <t>CESIÓN EQUIPAMIENTOS</t>
  </si>
  <si>
    <t>Andén</t>
  </si>
  <si>
    <t>Carrera 37</t>
  </si>
  <si>
    <t>Calzada</t>
  </si>
  <si>
    <t>Calle 23 A</t>
  </si>
  <si>
    <t>Cesión para Equipamientos (Área Construida)</t>
  </si>
  <si>
    <t>Privados</t>
  </si>
  <si>
    <t>SÓTANOS</t>
  </si>
  <si>
    <t>Total Sótanos</t>
  </si>
  <si>
    <t>SERVICIOS (Oficinas)</t>
  </si>
  <si>
    <t>SERVICIOS (Hotel)</t>
  </si>
  <si>
    <t>1x100</t>
  </si>
  <si>
    <t>Carrera 36 A</t>
  </si>
  <si>
    <t>Calle 22</t>
  </si>
  <si>
    <t>Manzana 3</t>
  </si>
  <si>
    <t>Visitantes</t>
  </si>
  <si>
    <t>Estacionamientos (Sector de Demanda B)</t>
  </si>
  <si>
    <t>1x250</t>
  </si>
  <si>
    <t>1x30</t>
  </si>
  <si>
    <t>1x40</t>
  </si>
  <si>
    <t>1x50</t>
  </si>
  <si>
    <t>1x18 Viv</t>
  </si>
  <si>
    <t>1x8 Viv</t>
  </si>
  <si>
    <t>CUADRO DE ÁREAS PLAN PARCIAL CENTRO URBANO</t>
  </si>
  <si>
    <t>VIS RU</t>
  </si>
  <si>
    <t>NO VIS</t>
  </si>
  <si>
    <t>1xViv</t>
  </si>
  <si>
    <t>1x 5Viv</t>
  </si>
  <si>
    <t>Equipamiento Comunal Privado (10 x Cada 120)</t>
  </si>
  <si>
    <t>VIVIENDA NO VIS</t>
  </si>
  <si>
    <t>Número de Viviendas</t>
  </si>
  <si>
    <t>Control Ambiental</t>
  </si>
  <si>
    <t>Avenida de las Américas</t>
  </si>
  <si>
    <t>ZONA VERDE</t>
  </si>
  <si>
    <t>Zona Verde</t>
  </si>
  <si>
    <t>ZONA VIAL DE CESIÓN</t>
  </si>
  <si>
    <t>RESERVA MALLA VIAL ARTERIAL</t>
  </si>
  <si>
    <t xml:space="preserve">Parque </t>
  </si>
  <si>
    <t>Área Útil</t>
  </si>
  <si>
    <t>VIVIENDA VIS RU</t>
  </si>
  <si>
    <t>Edificio 2 (Pisos 3 al 9)</t>
  </si>
  <si>
    <t>Edificio 1, 2 y 3 (Pisos 1 y 2)</t>
  </si>
  <si>
    <t>Edificio 3 (Pisos 3 al 15)</t>
  </si>
  <si>
    <t>Edificio 1 Torres A (22 Pisos), B (20 Pisos) y C (18 Pisos)
Edificio 2 (Pisos 10 al 17)</t>
  </si>
  <si>
    <t>Edificio 1 (Piso 3 de la Plataforma)</t>
  </si>
  <si>
    <t>CARGAS OBJETO DE REPARTO - PLAN PARCIAL CENTRO URBANO-BOGOTÁ D. C.</t>
  </si>
  <si>
    <t>PLAN PARCIAL PP-CU</t>
  </si>
  <si>
    <t>CARGAS LOCALES PP-CU</t>
  </si>
  <si>
    <t>ÁREAS</t>
  </si>
  <si>
    <t>M2 PLAN PARCIAL</t>
  </si>
  <si>
    <t>VALOR M2 CONSTRUIDOS</t>
  </si>
  <si>
    <t>VALOR PLAN PARCIAL</t>
  </si>
  <si>
    <t>MANZ. 1</t>
  </si>
  <si>
    <t>MANZ. 3</t>
  </si>
  <si>
    <t>VR. M2</t>
  </si>
  <si>
    <t>MALLA VIAL LOCAL, INTERMEDIA Y COMPLEMETARIA INCLUYE ANDENES</t>
  </si>
  <si>
    <t>INTERMEDIA</t>
  </si>
  <si>
    <t>MALLA VIAL COMPLEMENTARIA</t>
  </si>
  <si>
    <t>LOCAL</t>
  </si>
  <si>
    <t>SUBTOTAL CARGA LOCAL SISTEMA VIAL</t>
  </si>
  <si>
    <t>ESPACIO PÚBLICO</t>
  </si>
  <si>
    <t>ESPACIO PÚBLICO ANDENES NUEVOS</t>
  </si>
  <si>
    <t>Avenida Ferrocarril de occidente</t>
  </si>
  <si>
    <t>Avenida de la Esperanza</t>
  </si>
  <si>
    <t>ESPACIO PÚBLICO CESIÓN</t>
  </si>
  <si>
    <t>PLAZAS, PLAZOLETAS Y PARQUES</t>
  </si>
  <si>
    <t>Cesión para dotacional</t>
  </si>
  <si>
    <t>CONTROL AMBIENTAL</t>
  </si>
  <si>
    <t>CICLO RUTAS</t>
  </si>
  <si>
    <t>Sobre vía</t>
  </si>
  <si>
    <t>SUBTOTAL CARGA ESPACIO PÚBLICO</t>
  </si>
  <si>
    <t xml:space="preserve">CARGAS GENERALES CESION DE RESERVA MALLA VIAL Y CESION EN ZONA VERDE Y CERRAMIENTO </t>
  </si>
  <si>
    <t>Empradización cesión Avenida Ferrocarril de Occidente V-1</t>
  </si>
  <si>
    <t>SUBTOTAL CARGA OTRAS CARGAS GENERALES</t>
  </si>
  <si>
    <t>REDES SECUNDARIAS DE SERVICIOS PÚBLICOS DOMICILIARIOS</t>
  </si>
  <si>
    <t>Porcentaje sugerido hasta entrega del diseño</t>
  </si>
  <si>
    <t>Redes de Acueducto para el Barrio por fuera del PP</t>
  </si>
  <si>
    <t>Alcantarillado Sanitario y Pluvial por fuera del  plan parcial</t>
  </si>
  <si>
    <t>Telefonía y gas las acometidas van por cuenta de las ESP. Solo se contempla diseño y trámites</t>
  </si>
  <si>
    <t>Obras simuladas a ejecutar de acuerdo a las redes existentes (Pendiente la definitiva de la EMPRESA CODENSA S.A.)</t>
  </si>
  <si>
    <t>SUBTOTAL CARGA LOCAL SERVICIOS PÚBLICOS</t>
  </si>
  <si>
    <t>CARGAS INDIRECTOS URBANISMO</t>
  </si>
  <si>
    <t>SUBTOTAL COSTOS CARGAS, VIAS, ANDENES Y SERVICIOS</t>
  </si>
  <si>
    <t>SUB TOTAL</t>
  </si>
  <si>
    <t>Costos Indirectos de construcción Cargas Urbanísticas</t>
  </si>
  <si>
    <t xml:space="preserve">Hace referencia al cálculo de los costos de urbanismo multiplicado por el porcentaje de A.I.U.,  de los costos indirectos de construcción de cada presupuesto. Administración=7%, imprevistos=4%, utilidad=10%, </t>
  </si>
  <si>
    <t>Costos de diseños Urbanísticos</t>
  </si>
  <si>
    <t>Hace referencia a los costos del diseño urbano-paisajístico calculado en cada presupuesto más el IVA del 19%</t>
  </si>
  <si>
    <t>Interventoría de diseños urbanísticos</t>
  </si>
  <si>
    <t>Hace referencia a la contratación de una interventoría de los diseños urbanísticos equivalente al 15% de los diseños más el IVA del 19%</t>
  </si>
  <si>
    <t>Interventoría de construcción de urbanismo</t>
  </si>
  <si>
    <t>Hace referencia a la contratación de una interventoría para la construcción del urbanismo equivalente al 4% de los costos más el IVA del 19%</t>
  </si>
  <si>
    <t xml:space="preserve">SUBTOTAL CARGA INDIRECTOS URBANISO </t>
  </si>
  <si>
    <t>SUBTOTAL CARGA INDIRECTOS DE DISEÑO Y CONSTRUCCIÓN URBANISO PLAN PARCIAL</t>
  </si>
  <si>
    <t>DEMOLICIONES  Y CERRAMIENTOS</t>
  </si>
  <si>
    <t xml:space="preserve">Demoliciones Construcción Existente (promedio 3 pisos) Incluyen A.I.U. del 21%. </t>
  </si>
  <si>
    <t>SUBTOTAL DEMOLICIONES Y CERRAMIENTOS</t>
  </si>
  <si>
    <t>CESIÓN DE EQUIPAMIENTO EN ÁREA CONSTRUIDA Y REPOSICIÓN EDIFICACIONES PÚBLICAS</t>
  </si>
  <si>
    <t xml:space="preserve">SUB TOTAL </t>
  </si>
  <si>
    <t>SUBTOTAL CESIÓN DE EQUIPAMIENTO CONST.</t>
  </si>
  <si>
    <t>SUBTOTAL CESIÓN DE EQUIPAMIENTO CONSTRUIDO Y REPOSICIÓN</t>
  </si>
  <si>
    <t>TOTAL CARGAS PLAN PARCIAL CENTRO URBANO</t>
  </si>
  <si>
    <t>UNIDAD DE ACTUACIÓN URB.</t>
  </si>
  <si>
    <t>TOTAL CARGAS DE REPARTO</t>
  </si>
  <si>
    <t>TOTALES</t>
  </si>
  <si>
    <t>PRODUCTOS INMOBILIARIOS</t>
  </si>
  <si>
    <t>UNIDADES VENDIBLES</t>
  </si>
  <si>
    <t>TOTAL DE UNIDADES DE VIVIENDA</t>
  </si>
  <si>
    <t>VIVIENDA  E-4</t>
  </si>
  <si>
    <t>VIVIENDA VIS</t>
  </si>
  <si>
    <t>ÁREA EN M2 CONSTRUIDOS</t>
  </si>
  <si>
    <t>TOTAL M2 CONSTRUIDOS</t>
  </si>
  <si>
    <t>ÁREA EN M2 VENDIBLE</t>
  </si>
  <si>
    <t>TOTAL M2 VENDIBLES</t>
  </si>
  <si>
    <t>COSTOS DE CONSTRUCCIÓN</t>
  </si>
  <si>
    <t>VALOR M2 DE CONSTRUCCIÓN COSTO DIRECTO</t>
  </si>
  <si>
    <t>% DE COSTOS INDIRECTOS SOBRE COSTOS DIRECTOS</t>
  </si>
  <si>
    <t>SE REFIERE AL PORCENTAJE CALCULADO  DE CADA UNO DE LOS PRESUPUESTOS DE LAS UNIDADES DE ACTUACIÓN URBANÍSTICA PARA CALCULAR LOS COSTOS INDIRECTOS SOBRE COSTOS DIRECTOS DEL PLAN PARCIAL</t>
  </si>
  <si>
    <t>%</t>
  </si>
  <si>
    <t>TOTAL COSTOS DIRECTOS DE CONSTRUCCIÓN</t>
  </si>
  <si>
    <t>TOTALES COSTOS DIRECTO DE CONSTRUCCIÓN</t>
  </si>
  <si>
    <t>TOTAL COSTOS INDIRECTOS DE CONSTRUCCIÓN</t>
  </si>
  <si>
    <t>TOTALES COSTOS INDIRECTOS DE CONSTRUCCIÓN</t>
  </si>
  <si>
    <t>COSTOS DEL DESARROLLO INMOBILIARIO DIRECTOS + INDIRECTOS DE CONSTRUCCIÓN</t>
  </si>
  <si>
    <t>TOTALES COSTOS DE DESARROLLO INMOBILIARIO</t>
  </si>
  <si>
    <t>COSTOS  DE CONSULTORIAS</t>
  </si>
  <si>
    <t>COSTOS DISEÑOS E INTERVENTORIAS</t>
  </si>
  <si>
    <t>Hace referencia a la contratación de una interventoría para la construcción de edificaciones equivalente al 4% de los C.D. + C.I. más el IVA del 19%</t>
  </si>
  <si>
    <t>TOTALES COSTOS DISEÑOS E INTERVENTORIA DESARROLLO INMOBILIARIO</t>
  </si>
  <si>
    <t>Promedio valor m2</t>
  </si>
  <si>
    <t>Cantidad m2 a diseñar</t>
  </si>
  <si>
    <t>Hace referencia a los costos del diseño Arquitectónicos y técnicos equivalentes al 6% de C.D. incluye el IVA del 19%</t>
  </si>
  <si>
    <t>Hace referencia a la contratación de una interventoría de los diseños Arquitectónicos y técnicos equivalente al 15% de los diseños incluye el IVA del 19%</t>
  </si>
  <si>
    <t>Carrera 37 V-5</t>
  </si>
  <si>
    <t>Vigilancia</t>
  </si>
  <si>
    <t>PQ. 1 Se entrega solo con senderos y zonas verdes. (pasivo)</t>
  </si>
  <si>
    <t>Equipamiento construido y dotado</t>
  </si>
  <si>
    <t>MESES</t>
  </si>
  <si>
    <t>CIFRAS PARA CÁLCULOS</t>
  </si>
  <si>
    <t>Avenida de Las Américas</t>
  </si>
  <si>
    <t>Empradización cesión Avenida de las Américas V-0</t>
  </si>
  <si>
    <t>Demolición carpeta asfáltica y andenes de Cra. 36A y otras</t>
  </si>
  <si>
    <t>Redes de Acueducto dentro del ámbito del  Plan Parcial</t>
  </si>
  <si>
    <t>Alcantarillado Sanitario y Pluvial dentro del ámbito del plan parcial</t>
  </si>
  <si>
    <t>Alumbrado Público dentro del ámbito del plan parcial</t>
  </si>
  <si>
    <t>Cerramientos inicial, tipo alambre de púas (8 líneas). Postes de concreto y H=2.6m Incluyen A.I.U. del 21%</t>
  </si>
  <si>
    <t>ESTACIONAMIENTO POR UNIDADES EN SÓTANO (S-I,S-2,S-3 y S-4))</t>
  </si>
  <si>
    <t>ESTACIONAMIENTO EN SÓTANO NO VENDIBLES (S-I,S-2,S-3 y S-4))</t>
  </si>
  <si>
    <t>COMERCIO LOCAL-OBRA GRIS-ACABADOS SOLAMENTE EN ZONAS COMUNES, BATERIAS DE BAÑOS Y PUNTOS FIJOS</t>
  </si>
  <si>
    <t>SERVICIOS-OFICINAS-OBRA GRIS-ACABADOS SOLAMENTE EN ZONAS COMUNES, BATERIAS DE BAÑOS Y PUNTOS FIJOS</t>
  </si>
  <si>
    <t>SERVICIOS HOTEL ACABADOS TIPO 3 ESTRELLAS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</si>
</sst>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\ &quot;m²&quot;"/>
    <numFmt numFmtId="167" formatCode="&quot;$&quot;\ #,###,"/>
    <numFmt numFmtId="168" formatCode="_(&quot;$&quot;\ * #,##0.00_);_(&quot;$&quot;\ * \(#,##0.00\);_(&quot;$&quot;\ * &quot;-&quot;??_);_(@_)"/>
    <numFmt numFmtId="169" formatCode="&quot;$&quot;\ #,##0"/>
    <numFmt numFmtId="170" formatCode="#,##0.00\ &quot;ml&quot;"/>
    <numFmt numFmtId="171" formatCode="#,##0\ &quot; m2&quot;"/>
    <numFmt numFmtId="172" formatCode="#,##0\ &quot;m²&quot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Helvetica Neue"/>
    </font>
    <font>
      <sz val="10"/>
      <name val="Lucida Grande"/>
    </font>
    <font>
      <b/>
      <sz val="10"/>
      <name val="Lucida Grande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 applyNumberFormat="0" applyFill="0" applyBorder="0" applyProtection="0">
      <alignment vertical="top"/>
    </xf>
  </cellStyleXfs>
  <cellXfs count="412">
    <xf numFmtId="0" fontId="0" fillId="0" borderId="0" xfId="0"/>
    <xf numFmtId="0" fontId="3" fillId="0" borderId="1" xfId="0" applyFont="1" applyBorder="1"/>
    <xf numFmtId="4" fontId="2" fillId="2" borderId="1" xfId="0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/>
    <xf numFmtId="10" fontId="2" fillId="3" borderId="1" xfId="1" applyNumberFormat="1" applyFont="1" applyFill="1" applyBorder="1"/>
    <xf numFmtId="4" fontId="0" fillId="0" borderId="0" xfId="0" applyNumberFormat="1"/>
    <xf numFmtId="0" fontId="2" fillId="3" borderId="2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/>
    <xf numFmtId="4" fontId="2" fillId="5" borderId="1" xfId="0" applyNumberFormat="1" applyFont="1" applyFill="1" applyBorder="1"/>
    <xf numFmtId="10" fontId="2" fillId="5" borderId="1" xfId="1" applyNumberFormat="1" applyFont="1" applyFill="1" applyBorder="1"/>
    <xf numFmtId="9" fontId="2" fillId="5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9" fontId="2" fillId="3" borderId="1" xfId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7" borderId="1" xfId="0" applyFont="1" applyFill="1" applyBorder="1"/>
    <xf numFmtId="4" fontId="3" fillId="7" borderId="1" xfId="0" applyNumberFormat="1" applyFont="1" applyFill="1" applyBorder="1"/>
    <xf numFmtId="10" fontId="3" fillId="7" borderId="1" xfId="1" applyNumberFormat="1" applyFont="1" applyFill="1" applyBorder="1"/>
    <xf numFmtId="3" fontId="3" fillId="7" borderId="1" xfId="0" applyNumberFormat="1" applyFont="1" applyFill="1" applyBorder="1"/>
    <xf numFmtId="4" fontId="2" fillId="8" borderId="1" xfId="0" applyNumberFormat="1" applyFont="1" applyFill="1" applyBorder="1"/>
    <xf numFmtId="10" fontId="2" fillId="8" borderId="1" xfId="1" applyNumberFormat="1" applyFont="1" applyFill="1" applyBorder="1"/>
    <xf numFmtId="0" fontId="0" fillId="7" borderId="1" xfId="0" applyFill="1" applyBorder="1"/>
    <xf numFmtId="0" fontId="2" fillId="4" borderId="1" xfId="0" applyFont="1" applyFill="1" applyBorder="1"/>
    <xf numFmtId="10" fontId="2" fillId="4" borderId="1" xfId="1" applyNumberFormat="1" applyFont="1" applyFill="1" applyBorder="1"/>
    <xf numFmtId="3" fontId="3" fillId="7" borderId="1" xfId="0" applyNumberFormat="1" applyFont="1" applyFill="1" applyBorder="1" applyAlignment="1">
      <alignment horizontal="center"/>
    </xf>
    <xf numFmtId="10" fontId="3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4" fontId="7" fillId="7" borderId="1" xfId="0" applyNumberFormat="1" applyFont="1" applyFill="1" applyBorder="1"/>
    <xf numFmtId="9" fontId="6" fillId="7" borderId="1" xfId="1" applyFont="1" applyFill="1" applyBorder="1"/>
    <xf numFmtId="10" fontId="6" fillId="7" borderId="1" xfId="1" applyNumberFormat="1" applyFont="1" applyFill="1" applyBorder="1"/>
    <xf numFmtId="0" fontId="7" fillId="7" borderId="1" xfId="0" applyFont="1" applyFill="1" applyBorder="1"/>
    <xf numFmtId="4" fontId="3" fillId="7" borderId="1" xfId="0" applyNumberFormat="1" applyFont="1" applyFill="1" applyBorder="1" applyAlignment="1">
      <alignment horizontal="center"/>
    </xf>
    <xf numFmtId="9" fontId="6" fillId="7" borderId="1" xfId="1" applyFont="1" applyFill="1" applyBorder="1" applyAlignment="1">
      <alignment horizontal="right"/>
    </xf>
    <xf numFmtId="0" fontId="4" fillId="7" borderId="1" xfId="0" applyFont="1" applyFill="1" applyBorder="1"/>
    <xf numFmtId="4" fontId="4" fillId="7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/>
    </xf>
    <xf numFmtId="9" fontId="3" fillId="7" borderId="1" xfId="1" applyFont="1" applyFill="1" applyBorder="1" applyAlignment="1">
      <alignment horizontal="right"/>
    </xf>
    <xf numFmtId="9" fontId="0" fillId="0" borderId="0" xfId="1" applyFont="1"/>
    <xf numFmtId="9" fontId="5" fillId="4" borderId="1" xfId="1" applyFont="1" applyFill="1" applyBorder="1" applyAlignment="1">
      <alignment horizontal="center"/>
    </xf>
    <xf numFmtId="9" fontId="3" fillId="7" borderId="1" xfId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4" fontId="3" fillId="4" borderId="1" xfId="0" applyNumberFormat="1" applyFont="1" applyFill="1" applyBorder="1"/>
    <xf numFmtId="9" fontId="3" fillId="4" borderId="1" xfId="1" applyFont="1" applyFill="1" applyBorder="1" applyAlignment="1">
      <alignment horizontal="center"/>
    </xf>
    <xf numFmtId="2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0" fontId="3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4" fontId="3" fillId="7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center"/>
    </xf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/>
    <xf numFmtId="0" fontId="14" fillId="0" borderId="17" xfId="0" applyFont="1" applyBorder="1" applyAlignment="1">
      <alignment horizontal="left"/>
    </xf>
    <xf numFmtId="166" fontId="13" fillId="0" borderId="21" xfId="0" applyNumberFormat="1" applyFont="1" applyBorder="1"/>
    <xf numFmtId="166" fontId="12" fillId="0" borderId="20" xfId="0" applyNumberFormat="1" applyFont="1" applyBorder="1"/>
    <xf numFmtId="0" fontId="12" fillId="0" borderId="22" xfId="0" applyFont="1" applyBorder="1" applyAlignment="1">
      <alignment horizontal="center"/>
    </xf>
    <xf numFmtId="167" fontId="13" fillId="0" borderId="20" xfId="0" applyNumberFormat="1" applyFont="1" applyBorder="1"/>
    <xf numFmtId="167" fontId="12" fillId="0" borderId="20" xfId="0" applyNumberFormat="1" applyFont="1" applyBorder="1"/>
    <xf numFmtId="0" fontId="0" fillId="0" borderId="13" xfId="0" applyBorder="1"/>
    <xf numFmtId="166" fontId="13" fillId="0" borderId="0" xfId="0" applyNumberFormat="1" applyFont="1"/>
    <xf numFmtId="166" fontId="12" fillId="0" borderId="18" xfId="0" applyNumberFormat="1" applyFont="1" applyBorder="1"/>
    <xf numFmtId="167" fontId="13" fillId="0" borderId="12" xfId="0" applyNumberFormat="1" applyFont="1" applyBorder="1" applyAlignment="1">
      <alignment horizontal="right" vertical="center"/>
    </xf>
    <xf numFmtId="167" fontId="13" fillId="0" borderId="18" xfId="0" applyNumberFormat="1" applyFont="1" applyBorder="1"/>
    <xf numFmtId="167" fontId="13" fillId="0" borderId="0" xfId="0" applyNumberFormat="1" applyFont="1"/>
    <xf numFmtId="166" fontId="13" fillId="0" borderId="24" xfId="0" applyNumberFormat="1" applyFont="1" applyBorder="1"/>
    <xf numFmtId="166" fontId="12" fillId="0" borderId="23" xfId="0" applyNumberFormat="1" applyFont="1" applyBorder="1"/>
    <xf numFmtId="167" fontId="13" fillId="0" borderId="25" xfId="0" applyNumberFormat="1" applyFont="1" applyBorder="1" applyAlignment="1">
      <alignment horizontal="right" vertical="center"/>
    </xf>
    <xf numFmtId="167" fontId="13" fillId="0" borderId="23" xfId="0" applyNumberFormat="1" applyFont="1" applyBorder="1"/>
    <xf numFmtId="0" fontId="14" fillId="0" borderId="18" xfId="0" applyFont="1" applyBorder="1" applyAlignment="1">
      <alignment horizontal="left"/>
    </xf>
    <xf numFmtId="167" fontId="13" fillId="0" borderId="26" xfId="0" applyNumberFormat="1" applyFont="1" applyBorder="1" applyAlignment="1">
      <alignment horizontal="right" vertical="center"/>
    </xf>
    <xf numFmtId="167" fontId="12" fillId="0" borderId="26" xfId="0" applyNumberFormat="1" applyFont="1" applyBorder="1" applyAlignment="1">
      <alignment horizontal="right" vertical="center"/>
    </xf>
    <xf numFmtId="166" fontId="13" fillId="6" borderId="18" xfId="0" applyNumberFormat="1" applyFont="1" applyFill="1" applyBorder="1"/>
    <xf numFmtId="167" fontId="13" fillId="0" borderId="23" xfId="0" applyNumberFormat="1" applyFont="1" applyBorder="1" applyAlignment="1">
      <alignment horizontal="right" vertical="center"/>
    </xf>
    <xf numFmtId="167" fontId="12" fillId="0" borderId="23" xfId="0" applyNumberFormat="1" applyFont="1" applyBorder="1" applyAlignment="1">
      <alignment horizontal="right" vertical="center"/>
    </xf>
    <xf numFmtId="0" fontId="15" fillId="0" borderId="18" xfId="0" applyFont="1" applyBorder="1"/>
    <xf numFmtId="0" fontId="14" fillId="0" borderId="19" xfId="0" applyFont="1" applyBorder="1" applyAlignment="1">
      <alignment horizontal="right" vertical="center"/>
    </xf>
    <xf numFmtId="0" fontId="0" fillId="0" borderId="0" xfId="0" applyAlignment="1">
      <alignment vertical="center"/>
    </xf>
    <xf numFmtId="166" fontId="13" fillId="0" borderId="28" xfId="0" applyNumberFormat="1" applyFont="1" applyBorder="1" applyAlignment="1">
      <alignment vertical="center"/>
    </xf>
    <xf numFmtId="166" fontId="12" fillId="0" borderId="2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7" fontId="13" fillId="0" borderId="29" xfId="0" applyNumberFormat="1" applyFont="1" applyBorder="1" applyAlignment="1">
      <alignment horizontal="right" vertical="center"/>
    </xf>
    <xf numFmtId="167" fontId="13" fillId="0" borderId="28" xfId="0" applyNumberFormat="1" applyFont="1" applyBorder="1" applyAlignment="1">
      <alignment vertical="center"/>
    </xf>
    <xf numFmtId="167" fontId="12" fillId="0" borderId="28" xfId="0" applyNumberFormat="1" applyFont="1" applyBorder="1" applyAlignment="1">
      <alignment vertical="center"/>
    </xf>
    <xf numFmtId="0" fontId="15" fillId="0" borderId="0" xfId="0" applyFont="1"/>
    <xf numFmtId="0" fontId="4" fillId="0" borderId="0" xfId="0" applyFont="1"/>
    <xf numFmtId="167" fontId="0" fillId="0" borderId="0" xfId="0" applyNumberFormat="1" applyAlignment="1">
      <alignment horizontal="right" vertical="center"/>
    </xf>
    <xf numFmtId="167" fontId="0" fillId="0" borderId="0" xfId="0" applyNumberFormat="1"/>
    <xf numFmtId="0" fontId="14" fillId="0" borderId="17" xfId="0" applyFont="1" applyBorder="1"/>
    <xf numFmtId="167" fontId="13" fillId="0" borderId="22" xfId="0" applyNumberFormat="1" applyFont="1" applyBorder="1" applyAlignment="1">
      <alignment horizontal="right" vertical="center"/>
    </xf>
    <xf numFmtId="166" fontId="13" fillId="0" borderId="12" xfId="0" applyNumberFormat="1" applyFont="1" applyBorder="1"/>
    <xf numFmtId="167" fontId="13" fillId="0" borderId="9" xfId="0" applyNumberFormat="1" applyFont="1" applyBorder="1" applyAlignment="1">
      <alignment horizontal="right" vertical="center"/>
    </xf>
    <xf numFmtId="0" fontId="14" fillId="0" borderId="18" xfId="0" applyFont="1" applyBorder="1"/>
    <xf numFmtId="167" fontId="13" fillId="0" borderId="23" xfId="2" applyNumberFormat="1" applyFont="1" applyBorder="1"/>
    <xf numFmtId="167" fontId="12" fillId="0" borderId="23" xfId="0" applyNumberFormat="1" applyFont="1" applyBorder="1"/>
    <xf numFmtId="166" fontId="13" fillId="0" borderId="26" xfId="0" applyNumberFormat="1" applyFont="1" applyBorder="1"/>
    <xf numFmtId="166" fontId="13" fillId="0" borderId="27" xfId="0" applyNumberFormat="1" applyFont="1" applyBorder="1"/>
    <xf numFmtId="167" fontId="13" fillId="0" borderId="30" xfId="0" applyNumberFormat="1" applyFont="1" applyBorder="1" applyAlignment="1">
      <alignment horizontal="right" vertical="center"/>
    </xf>
    <xf numFmtId="167" fontId="13" fillId="0" borderId="26" xfId="0" applyNumberFormat="1" applyFont="1" applyBorder="1"/>
    <xf numFmtId="0" fontId="14" fillId="0" borderId="18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6" fontId="13" fillId="0" borderId="26" xfId="0" applyNumberFormat="1" applyFont="1" applyBorder="1" applyAlignment="1">
      <alignment horizontal="right" vertical="center"/>
    </xf>
    <xf numFmtId="166" fontId="13" fillId="0" borderId="27" xfId="0" applyNumberFormat="1" applyFont="1" applyBorder="1" applyAlignment="1">
      <alignment horizontal="right" vertical="center"/>
    </xf>
    <xf numFmtId="166" fontId="13" fillId="0" borderId="23" xfId="0" applyNumberFormat="1" applyFont="1" applyBorder="1" applyAlignment="1">
      <alignment horizontal="right" vertical="center"/>
    </xf>
    <xf numFmtId="166" fontId="13" fillId="0" borderId="24" xfId="0" applyNumberFormat="1" applyFont="1" applyBorder="1" applyAlignment="1">
      <alignment horizontal="right" vertical="center"/>
    </xf>
    <xf numFmtId="166" fontId="13" fillId="0" borderId="16" xfId="0" applyNumberFormat="1" applyFont="1" applyBorder="1" applyAlignment="1">
      <alignment vertical="center"/>
    </xf>
    <xf numFmtId="166" fontId="12" fillId="0" borderId="19" xfId="0" applyNumberFormat="1" applyFont="1" applyBorder="1" applyAlignment="1">
      <alignment vertical="center"/>
    </xf>
    <xf numFmtId="167" fontId="13" fillId="0" borderId="14" xfId="0" applyNumberFormat="1" applyFont="1" applyBorder="1" applyAlignment="1">
      <alignment horizontal="right" vertical="center"/>
    </xf>
    <xf numFmtId="167" fontId="13" fillId="0" borderId="19" xfId="2" applyNumberFormat="1" applyFont="1" applyBorder="1" applyAlignment="1">
      <alignment vertical="center"/>
    </xf>
    <xf numFmtId="167" fontId="12" fillId="0" borderId="19" xfId="2" applyNumberFormat="1" applyFont="1" applyBorder="1" applyAlignment="1">
      <alignment vertical="center"/>
    </xf>
    <xf numFmtId="0" fontId="0" fillId="0" borderId="12" xfId="0" applyBorder="1"/>
    <xf numFmtId="0" fontId="4" fillId="0" borderId="13" xfId="0" applyFont="1" applyBorder="1"/>
    <xf numFmtId="167" fontId="13" fillId="0" borderId="0" xfId="0" applyNumberFormat="1" applyFont="1" applyAlignment="1">
      <alignment horizontal="right" vertical="center"/>
    </xf>
    <xf numFmtId="0" fontId="15" fillId="0" borderId="17" xfId="0" applyFont="1" applyBorder="1"/>
    <xf numFmtId="166" fontId="13" fillId="0" borderId="9" xfId="0" applyNumberFormat="1" applyFont="1" applyBorder="1"/>
    <xf numFmtId="166" fontId="12" fillId="0" borderId="17" xfId="0" applyNumberFormat="1" applyFont="1" applyBorder="1"/>
    <xf numFmtId="167" fontId="13" fillId="0" borderId="17" xfId="0" applyNumberFormat="1" applyFont="1" applyBorder="1"/>
    <xf numFmtId="0" fontId="14" fillId="0" borderId="19" xfId="0" applyFont="1" applyBorder="1" applyAlignment="1">
      <alignment horizontal="right" vertical="center" wrapText="1"/>
    </xf>
    <xf numFmtId="166" fontId="13" fillId="0" borderId="29" xfId="0" applyNumberFormat="1" applyFont="1" applyBorder="1" applyAlignment="1">
      <alignment vertical="center"/>
    </xf>
    <xf numFmtId="0" fontId="13" fillId="0" borderId="14" xfId="0" applyFont="1" applyBorder="1" applyAlignment="1">
      <alignment horizontal="right" vertical="center"/>
    </xf>
    <xf numFmtId="167" fontId="13" fillId="0" borderId="19" xfId="0" applyNumberFormat="1" applyFont="1" applyBorder="1" applyAlignment="1">
      <alignment vertical="center"/>
    </xf>
    <xf numFmtId="167" fontId="12" fillId="0" borderId="19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169" fontId="17" fillId="6" borderId="0" xfId="3" applyNumberFormat="1" applyFont="1" applyFill="1" applyBorder="1" applyAlignment="1">
      <alignment vertical="center" wrapText="1"/>
    </xf>
    <xf numFmtId="9" fontId="13" fillId="0" borderId="17" xfId="0" applyNumberFormat="1" applyFont="1" applyBorder="1" applyAlignment="1">
      <alignment horizontal="center" vertical="center"/>
    </xf>
    <xf numFmtId="167" fontId="13" fillId="0" borderId="9" xfId="0" applyNumberFormat="1" applyFont="1" applyBorder="1" applyAlignment="1">
      <alignment vertical="center"/>
    </xf>
    <xf numFmtId="167" fontId="13" fillId="0" borderId="17" xfId="0" applyNumberFormat="1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9" fontId="13" fillId="0" borderId="18" xfId="0" applyNumberFormat="1" applyFont="1" applyBorder="1" applyAlignment="1">
      <alignment horizontal="center" vertical="center"/>
    </xf>
    <xf numFmtId="167" fontId="13" fillId="0" borderId="12" xfId="0" applyNumberFormat="1" applyFont="1" applyBorder="1" applyAlignment="1">
      <alignment vertical="center"/>
    </xf>
    <xf numFmtId="167" fontId="13" fillId="0" borderId="18" xfId="0" applyNumberFormat="1" applyFont="1" applyBorder="1" applyAlignment="1">
      <alignment vertical="center"/>
    </xf>
    <xf numFmtId="0" fontId="15" fillId="0" borderId="18" xfId="0" applyFont="1" applyBorder="1" applyAlignment="1">
      <alignment vertical="center" wrapText="1"/>
    </xf>
    <xf numFmtId="9" fontId="13" fillId="0" borderId="23" xfId="0" applyNumberFormat="1" applyFont="1" applyBorder="1" applyAlignment="1">
      <alignment horizontal="center" vertical="center"/>
    </xf>
    <xf numFmtId="167" fontId="13" fillId="0" borderId="25" xfId="0" applyNumberFormat="1" applyFont="1" applyBorder="1" applyAlignment="1">
      <alignment vertical="center"/>
    </xf>
    <xf numFmtId="167" fontId="13" fillId="0" borderId="23" xfId="0" applyNumberFormat="1" applyFont="1" applyBorder="1" applyAlignment="1">
      <alignment vertical="center"/>
    </xf>
    <xf numFmtId="169" fontId="18" fillId="6" borderId="0" xfId="3" applyNumberFormat="1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/>
    </xf>
    <xf numFmtId="167" fontId="13" fillId="0" borderId="14" xfId="2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167" fontId="14" fillId="0" borderId="33" xfId="0" applyNumberFormat="1" applyFont="1" applyBorder="1" applyAlignment="1">
      <alignment horizontal="right" vertical="center"/>
    </xf>
    <xf numFmtId="167" fontId="12" fillId="0" borderId="33" xfId="0" applyNumberFormat="1" applyFont="1" applyBorder="1" applyAlignment="1">
      <alignment vertical="center"/>
    </xf>
    <xf numFmtId="9" fontId="13" fillId="0" borderId="12" xfId="0" applyNumberFormat="1" applyFont="1" applyBorder="1" applyAlignment="1">
      <alignment horizontal="center" vertical="center"/>
    </xf>
    <xf numFmtId="9" fontId="13" fillId="0" borderId="2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5" fillId="0" borderId="17" xfId="0" applyFont="1" applyBorder="1" applyAlignment="1">
      <alignment vertical="center" wrapText="1"/>
    </xf>
    <xf numFmtId="166" fontId="13" fillId="0" borderId="9" xfId="0" applyNumberFormat="1" applyFont="1" applyBorder="1" applyAlignment="1">
      <alignment vertical="center"/>
    </xf>
    <xf numFmtId="166" fontId="13" fillId="0" borderId="17" xfId="0" applyNumberFormat="1" applyFont="1" applyBorder="1" applyAlignment="1">
      <alignment vertical="center"/>
    </xf>
    <xf numFmtId="166" fontId="12" fillId="0" borderId="10" xfId="0" applyNumberFormat="1" applyFont="1" applyBorder="1" applyAlignment="1">
      <alignment vertical="center"/>
    </xf>
    <xf numFmtId="167" fontId="13" fillId="0" borderId="17" xfId="0" applyNumberFormat="1" applyFont="1" applyBorder="1" applyAlignment="1">
      <alignment horizontal="center" vertical="center"/>
    </xf>
    <xf numFmtId="170" fontId="13" fillId="0" borderId="25" xfId="0" applyNumberFormat="1" applyFont="1" applyBorder="1" applyAlignment="1">
      <alignment vertical="center"/>
    </xf>
    <xf numFmtId="170" fontId="13" fillId="0" borderId="23" xfId="0" applyNumberFormat="1" applyFont="1" applyBorder="1" applyAlignment="1">
      <alignment vertical="center"/>
    </xf>
    <xf numFmtId="170" fontId="12" fillId="0" borderId="32" xfId="0" applyNumberFormat="1" applyFont="1" applyBorder="1" applyAlignment="1">
      <alignment vertical="center"/>
    </xf>
    <xf numFmtId="167" fontId="13" fillId="0" borderId="23" xfId="2" applyNumberFormat="1" applyFont="1" applyBorder="1" applyAlignment="1">
      <alignment horizontal="center" vertical="center"/>
    </xf>
    <xf numFmtId="167" fontId="13" fillId="0" borderId="19" xfId="0" applyNumberFormat="1" applyFont="1" applyBorder="1" applyAlignment="1">
      <alignment horizontal="right" vertical="center"/>
    </xf>
    <xf numFmtId="167" fontId="13" fillId="0" borderId="14" xfId="0" applyNumberFormat="1" applyFont="1" applyBorder="1" applyAlignment="1">
      <alignment vertical="center"/>
    </xf>
    <xf numFmtId="0" fontId="0" fillId="0" borderId="11" xfId="0" applyBorder="1"/>
    <xf numFmtId="166" fontId="13" fillId="0" borderId="20" xfId="0" applyNumberFormat="1" applyFont="1" applyBorder="1" applyAlignment="1">
      <alignment vertical="center"/>
    </xf>
    <xf numFmtId="166" fontId="12" fillId="0" borderId="20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0" xfId="0" applyNumberFormat="1" applyFont="1" applyBorder="1" applyAlignment="1">
      <alignment vertical="center"/>
    </xf>
    <xf numFmtId="9" fontId="13" fillId="0" borderId="18" xfId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vertical="center"/>
    </xf>
    <xf numFmtId="9" fontId="13" fillId="0" borderId="23" xfId="1" applyFont="1" applyBorder="1" applyAlignment="1">
      <alignment horizontal="center" vertical="center"/>
    </xf>
    <xf numFmtId="0" fontId="14" fillId="0" borderId="18" xfId="0" applyFont="1" applyBorder="1" applyAlignment="1">
      <alignment horizontal="right" vertical="center"/>
    </xf>
    <xf numFmtId="9" fontId="13" fillId="0" borderId="35" xfId="0" applyNumberFormat="1" applyFont="1" applyBorder="1" applyAlignment="1">
      <alignment horizontal="center" vertical="center"/>
    </xf>
    <xf numFmtId="167" fontId="13" fillId="0" borderId="35" xfId="0" applyNumberFormat="1" applyFont="1" applyBorder="1" applyAlignment="1">
      <alignment vertical="center"/>
    </xf>
    <xf numFmtId="167" fontId="12" fillId="0" borderId="35" xfId="0" applyNumberFormat="1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13" fillId="0" borderId="33" xfId="0" applyFont="1" applyBorder="1" applyAlignment="1">
      <alignment vertical="center"/>
    </xf>
    <xf numFmtId="167" fontId="13" fillId="0" borderId="6" xfId="0" applyNumberFormat="1" applyFont="1" applyBorder="1" applyAlignment="1">
      <alignment vertical="center"/>
    </xf>
    <xf numFmtId="0" fontId="20" fillId="6" borderId="3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0" fillId="9" borderId="33" xfId="0" applyFont="1" applyFill="1" applyBorder="1" applyAlignment="1">
      <alignment horizontal="center" vertical="center"/>
    </xf>
    <xf numFmtId="167" fontId="13" fillId="9" borderId="33" xfId="0" applyNumberFormat="1" applyFont="1" applyFill="1" applyBorder="1" applyAlignment="1">
      <alignment vertical="center"/>
    </xf>
    <xf numFmtId="167" fontId="14" fillId="9" borderId="8" xfId="0" applyNumberFormat="1" applyFont="1" applyFill="1" applyBorder="1" applyAlignment="1">
      <alignment vertical="center"/>
    </xf>
    <xf numFmtId="169" fontId="5" fillId="6" borderId="0" xfId="3" applyNumberFormat="1" applyFont="1" applyFill="1" applyBorder="1" applyAlignment="1">
      <alignment horizontal="left" vertical="center" wrapText="1"/>
    </xf>
    <xf numFmtId="0" fontId="4" fillId="0" borderId="22" xfId="0" applyFont="1" applyBorder="1"/>
    <xf numFmtId="1" fontId="13" fillId="0" borderId="20" xfId="0" applyNumberFormat="1" applyFont="1" applyBorder="1" applyAlignment="1">
      <alignment horizontal="center" vertical="center"/>
    </xf>
    <xf numFmtId="1" fontId="12" fillId="6" borderId="20" xfId="0" applyNumberFormat="1" applyFont="1" applyFill="1" applyBorder="1" applyAlignment="1">
      <alignment horizontal="center" vertical="center"/>
    </xf>
    <xf numFmtId="169" fontId="22" fillId="6" borderId="0" xfId="3" applyNumberFormat="1" applyFont="1" applyFill="1" applyBorder="1" applyAlignment="1">
      <alignment horizontal="right" vertical="center" wrapText="1"/>
    </xf>
    <xf numFmtId="166" fontId="13" fillId="0" borderId="13" xfId="0" applyNumberFormat="1" applyFont="1" applyBorder="1" applyAlignment="1">
      <alignment vertical="center"/>
    </xf>
    <xf numFmtId="1" fontId="13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166" fontId="13" fillId="0" borderId="15" xfId="0" applyNumberFormat="1" applyFont="1" applyBorder="1" applyAlignment="1">
      <alignment vertical="center"/>
    </xf>
    <xf numFmtId="0" fontId="0" fillId="0" borderId="14" xfId="0" applyBorder="1"/>
    <xf numFmtId="1" fontId="13" fillId="0" borderId="19" xfId="0" applyNumberFormat="1" applyFont="1" applyBorder="1" applyAlignment="1">
      <alignment horizontal="center"/>
    </xf>
    <xf numFmtId="1" fontId="13" fillId="0" borderId="19" xfId="0" applyNumberFormat="1" applyFont="1" applyBorder="1" applyAlignment="1">
      <alignment horizontal="center" vertical="center"/>
    </xf>
    <xf numFmtId="0" fontId="22" fillId="6" borderId="0" xfId="3" applyFont="1" applyFill="1" applyBorder="1" applyAlignment="1">
      <alignment horizontal="center" vertical="center"/>
    </xf>
    <xf numFmtId="166" fontId="13" fillId="0" borderId="20" xfId="0" applyNumberFormat="1" applyFont="1" applyBorder="1" applyAlignment="1">
      <alignment horizontal="center" vertical="center"/>
    </xf>
    <xf numFmtId="166" fontId="12" fillId="0" borderId="20" xfId="0" applyNumberFormat="1" applyFont="1" applyBorder="1" applyAlignment="1">
      <alignment horizontal="center" vertical="center"/>
    </xf>
    <xf numFmtId="172" fontId="13" fillId="0" borderId="18" xfId="0" applyNumberFormat="1" applyFont="1" applyBorder="1" applyAlignment="1">
      <alignment horizontal="center" vertical="center"/>
    </xf>
    <xf numFmtId="172" fontId="13" fillId="0" borderId="19" xfId="0" applyNumberFormat="1" applyFont="1" applyBorder="1" applyAlignment="1">
      <alignment horizontal="center" vertical="center"/>
    </xf>
    <xf numFmtId="169" fontId="21" fillId="6" borderId="0" xfId="3" applyNumberFormat="1" applyFont="1" applyFill="1" applyBorder="1" applyAlignment="1">
      <alignment horizontal="left" vertical="center" wrapText="1"/>
    </xf>
    <xf numFmtId="0" fontId="4" fillId="0" borderId="20" xfId="0" applyFont="1" applyBorder="1"/>
    <xf numFmtId="0" fontId="0" fillId="0" borderId="18" xfId="0" applyBorder="1"/>
    <xf numFmtId="1" fontId="13" fillId="0" borderId="12" xfId="0" applyNumberFormat="1" applyFont="1" applyBorder="1" applyAlignment="1">
      <alignment horizontal="center"/>
    </xf>
    <xf numFmtId="166" fontId="13" fillId="0" borderId="18" xfId="0" applyNumberFormat="1" applyFont="1" applyBorder="1" applyAlignment="1">
      <alignment horizontal="center" vertical="center"/>
    </xf>
    <xf numFmtId="0" fontId="0" fillId="0" borderId="19" xfId="0" applyBorder="1"/>
    <xf numFmtId="166" fontId="13" fillId="0" borderId="10" xfId="0" applyNumberFormat="1" applyFont="1" applyBorder="1" applyAlignment="1">
      <alignment vertical="center"/>
    </xf>
    <xf numFmtId="0" fontId="0" fillId="0" borderId="17" xfId="0" applyBorder="1"/>
    <xf numFmtId="167" fontId="13" fillId="0" borderId="17" xfId="2" applyNumberFormat="1" applyFont="1" applyBorder="1" applyAlignment="1">
      <alignment horizontal="center" vertical="center"/>
    </xf>
    <xf numFmtId="167" fontId="13" fillId="0" borderId="18" xfId="2" applyNumberFormat="1" applyFont="1" applyBorder="1" applyAlignment="1">
      <alignment horizontal="center" vertical="center"/>
    </xf>
    <xf numFmtId="167" fontId="13" fillId="0" borderId="19" xfId="2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10" fontId="12" fillId="0" borderId="10" xfId="0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167" fontId="13" fillId="0" borderId="20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vertical="center"/>
    </xf>
    <xf numFmtId="167" fontId="13" fillId="0" borderId="0" xfId="2" applyNumberFormat="1" applyFont="1" applyBorder="1" applyAlignment="1">
      <alignment horizontal="center" vertical="center"/>
    </xf>
    <xf numFmtId="167" fontId="13" fillId="0" borderId="18" xfId="2" applyNumberFormat="1" applyFont="1" applyBorder="1" applyAlignment="1">
      <alignment horizontal="right" vertical="center"/>
    </xf>
    <xf numFmtId="168" fontId="0" fillId="0" borderId="0" xfId="0" applyNumberFormat="1"/>
    <xf numFmtId="0" fontId="0" fillId="0" borderId="20" xfId="0" applyBorder="1"/>
    <xf numFmtId="167" fontId="13" fillId="0" borderId="21" xfId="2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right" vertical="center"/>
    </xf>
    <xf numFmtId="167" fontId="13" fillId="0" borderId="16" xfId="2" applyNumberFormat="1" applyFont="1" applyBorder="1" applyAlignment="1">
      <alignment horizontal="center" vertical="center"/>
    </xf>
    <xf numFmtId="167" fontId="13" fillId="0" borderId="19" xfId="2" applyNumberFormat="1" applyFont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9" fontId="0" fillId="0" borderId="9" xfId="0" applyNumberFormat="1" applyBorder="1" applyAlignment="1">
      <alignment horizontal="center" vertical="center"/>
    </xf>
    <xf numFmtId="167" fontId="13" fillId="0" borderId="17" xfId="2" applyNumberFormat="1" applyFont="1" applyBorder="1" applyAlignment="1">
      <alignment horizontal="right" vertical="center"/>
    </xf>
    <xf numFmtId="9" fontId="0" fillId="0" borderId="12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167" fontId="13" fillId="0" borderId="23" xfId="2" applyNumberFormat="1" applyFont="1" applyBorder="1" applyAlignment="1">
      <alignment horizontal="right" vertical="center"/>
    </xf>
    <xf numFmtId="167" fontId="12" fillId="0" borderId="19" xfId="2" applyNumberFormat="1" applyFont="1" applyBorder="1" applyAlignment="1">
      <alignment horizontal="right" vertical="center"/>
    </xf>
    <xf numFmtId="3" fontId="13" fillId="0" borderId="1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2" fillId="0" borderId="34" xfId="0" applyFont="1" applyBorder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3" fillId="0" borderId="25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4" fillId="0" borderId="14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166" fontId="12" fillId="0" borderId="14" xfId="0" applyNumberFormat="1" applyFont="1" applyBorder="1" applyAlignment="1">
      <alignment horizontal="right" vertical="center"/>
    </xf>
    <xf numFmtId="166" fontId="12" fillId="0" borderId="16" xfId="0" applyNumberFormat="1" applyFont="1" applyBorder="1" applyAlignment="1">
      <alignment horizontal="right" vertical="center"/>
    </xf>
    <xf numFmtId="166" fontId="12" fillId="0" borderId="15" xfId="0" applyNumberFormat="1" applyFont="1" applyBorder="1" applyAlignment="1">
      <alignment horizontal="right" vertical="center"/>
    </xf>
    <xf numFmtId="166" fontId="12" fillId="0" borderId="6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166" fontId="12" fillId="0" borderId="8" xfId="0" applyNumberFormat="1" applyFont="1" applyBorder="1" applyAlignment="1">
      <alignment horizontal="right" vertical="center" wrapText="1"/>
    </xf>
    <xf numFmtId="0" fontId="19" fillId="9" borderId="9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21" fillId="6" borderId="17" xfId="3" applyFont="1" applyFill="1" applyBorder="1" applyAlignment="1">
      <alignment horizontal="center" vertical="center" textRotation="90" wrapText="1"/>
    </xf>
    <xf numFmtId="0" fontId="21" fillId="6" borderId="18" xfId="3" applyFont="1" applyFill="1" applyBorder="1" applyAlignment="1">
      <alignment horizontal="center" vertical="center" textRotation="90" wrapText="1"/>
    </xf>
    <xf numFmtId="0" fontId="21" fillId="6" borderId="19" xfId="3" applyFont="1" applyFill="1" applyBorder="1" applyAlignment="1">
      <alignment horizontal="center" vertical="center" textRotation="90" wrapText="1"/>
    </xf>
    <xf numFmtId="171" fontId="21" fillId="6" borderId="10" xfId="3" applyNumberFormat="1" applyFont="1" applyFill="1" applyBorder="1" applyAlignment="1">
      <alignment horizontal="center" vertical="center" wrapText="1"/>
    </xf>
    <xf numFmtId="171" fontId="21" fillId="6" borderId="13" xfId="3" applyNumberFormat="1" applyFont="1" applyFill="1" applyBorder="1" applyAlignment="1">
      <alignment horizontal="center" vertical="center" wrapText="1"/>
    </xf>
    <xf numFmtId="171" fontId="21" fillId="6" borderId="15" xfId="3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0" fontId="21" fillId="6" borderId="17" xfId="3" applyFont="1" applyFill="1" applyBorder="1" applyAlignment="1">
      <alignment horizontal="center" vertical="center"/>
    </xf>
    <xf numFmtId="0" fontId="21" fillId="6" borderId="18" xfId="3" applyFont="1" applyFill="1" applyBorder="1" applyAlignment="1">
      <alignment horizontal="center" vertical="center"/>
    </xf>
    <xf numFmtId="0" fontId="21" fillId="6" borderId="19" xfId="3" applyFont="1" applyFill="1" applyBorder="1" applyAlignment="1">
      <alignment horizontal="center" vertical="center"/>
    </xf>
    <xf numFmtId="171" fontId="21" fillId="6" borderId="37" xfId="3" applyNumberFormat="1" applyFont="1" applyFill="1" applyBorder="1" applyAlignment="1">
      <alignment horizontal="center" vertical="center" wrapText="1"/>
    </xf>
    <xf numFmtId="171" fontId="21" fillId="6" borderId="38" xfId="3" applyNumberFormat="1" applyFont="1" applyFill="1" applyBorder="1" applyAlignment="1">
      <alignment horizontal="center" vertical="center" wrapText="1"/>
    </xf>
    <xf numFmtId="171" fontId="21" fillId="6" borderId="17" xfId="3" applyNumberFormat="1" applyFont="1" applyFill="1" applyBorder="1" applyAlignment="1">
      <alignment horizontal="center" vertical="center" wrapText="1"/>
    </xf>
    <xf numFmtId="171" fontId="21" fillId="6" borderId="18" xfId="3" applyNumberFormat="1" applyFont="1" applyFill="1" applyBorder="1" applyAlignment="1">
      <alignment horizontal="center" vertical="center" wrapText="1"/>
    </xf>
    <xf numFmtId="171" fontId="21" fillId="6" borderId="39" xfId="3" applyNumberFormat="1" applyFont="1" applyFill="1" applyBorder="1" applyAlignment="1">
      <alignment horizontal="center" vertical="center" wrapText="1"/>
    </xf>
    <xf numFmtId="171" fontId="21" fillId="6" borderId="40" xfId="3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9" fontId="0" fillId="0" borderId="14" xfId="0" applyNumberForma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166" fontId="13" fillId="0" borderId="18" xfId="0" applyNumberFormat="1" applyFont="1" applyBorder="1" applyAlignment="1">
      <alignment vertical="center"/>
    </xf>
    <xf numFmtId="166" fontId="12" fillId="0" borderId="13" xfId="0" applyNumberFormat="1" applyFont="1" applyBorder="1" applyAlignment="1">
      <alignment vertical="center"/>
    </xf>
    <xf numFmtId="167" fontId="13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vertical="center"/>
    </xf>
    <xf numFmtId="9" fontId="13" fillId="0" borderId="28" xfId="1" applyFont="1" applyBorder="1" applyAlignment="1">
      <alignment horizontal="center" vertical="center"/>
    </xf>
    <xf numFmtId="166" fontId="12" fillId="0" borderId="17" xfId="0" applyNumberFormat="1" applyFont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" fontId="13" fillId="0" borderId="19" xfId="0" applyNumberFormat="1" applyFont="1" applyBorder="1" applyAlignment="1">
      <alignment horizontal="right" vertical="center"/>
    </xf>
    <xf numFmtId="171" fontId="21" fillId="6" borderId="19" xfId="3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166" fontId="13" fillId="0" borderId="20" xfId="0" applyNumberFormat="1" applyFont="1" applyBorder="1" applyAlignment="1">
      <alignment horizontal="center"/>
    </xf>
    <xf numFmtId="166" fontId="13" fillId="0" borderId="18" xfId="0" applyNumberFormat="1" applyFont="1" applyBorder="1" applyAlignment="1">
      <alignment horizontal="center"/>
    </xf>
    <xf numFmtId="166" fontId="13" fillId="0" borderId="23" xfId="0" applyNumberFormat="1" applyFont="1" applyBorder="1" applyAlignment="1">
      <alignment horizontal="center"/>
    </xf>
    <xf numFmtId="166" fontId="13" fillId="0" borderId="28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13" fillId="0" borderId="12" xfId="0" applyNumberFormat="1" applyFont="1" applyBorder="1" applyAlignment="1">
      <alignment horizontal="center"/>
    </xf>
    <xf numFmtId="166" fontId="13" fillId="0" borderId="25" xfId="0" applyNumberFormat="1" applyFont="1" applyBorder="1" applyAlignment="1">
      <alignment horizontal="center"/>
    </xf>
    <xf numFmtId="166" fontId="13" fillId="0" borderId="30" xfId="0" applyNumberFormat="1" applyFont="1" applyBorder="1" applyAlignment="1">
      <alignment horizontal="center"/>
    </xf>
    <xf numFmtId="166" fontId="13" fillId="0" borderId="30" xfId="0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  <xf numFmtId="166" fontId="13" fillId="6" borderId="12" xfId="0" applyNumberFormat="1" applyFont="1" applyFill="1" applyBorder="1" applyAlignment="1">
      <alignment horizontal="center"/>
    </xf>
    <xf numFmtId="166" fontId="13" fillId="0" borderId="14" xfId="0" applyNumberFormat="1" applyFont="1" applyBorder="1" applyAlignment="1">
      <alignment horizontal="center" vertical="center"/>
    </xf>
    <xf numFmtId="166" fontId="13" fillId="0" borderId="17" xfId="0" applyNumberFormat="1" applyFont="1" applyBorder="1" applyAlignment="1">
      <alignment horizontal="center"/>
    </xf>
    <xf numFmtId="166" fontId="13" fillId="6" borderId="18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</cellXfs>
  <cellStyles count="4">
    <cellStyle name="Moneda 2" xfId="2" xr:uid="{F59F8176-F182-4FEE-959E-6A1B6A7CE702}"/>
    <cellStyle name="Normal" xfId="0" builtinId="0"/>
    <cellStyle name="Normal 2" xfId="3" xr:uid="{1FE4A1B6-F2D6-4093-A02A-00700BFBD66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S_PP-CU%202019%20V.2%20MARZO-2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P-CU PREDIOS"/>
      <sheetName val="PP-CU COND. BASICAS"/>
      <sheetName val="PP-CU Resumen"/>
      <sheetName val="COSTOS PRELIMINARES"/>
      <sheetName val="PRESENTACION PP-CU"/>
      <sheetName val="PP-CU ÁREAS GENERALES "/>
      <sheetName val="MATRIZ Y CARGAS  PP-CU"/>
      <sheetName val="AREAS SECTOR 1"/>
      <sheetName val="PRESP. TIPO PP-CU MZ 1"/>
      <sheetName val="BASES PARA CANT. MZ 1,2,3 y 5"/>
      <sheetName val=" PP-CU Mzna 1"/>
      <sheetName val="SIMULADOR ESTRUCTURAS MZ 1"/>
      <sheetName val="BASES PARA CANT. MZ. 4 y 6"/>
      <sheetName val="MOD. UAU 1"/>
      <sheetName val="PRESP. TIPO PP-CU MZ 2"/>
      <sheetName val="PP-CU Mzna 2"/>
      <sheetName val="SIMULADOR ESTRUCTURA MZ 2"/>
      <sheetName val="PROGRAMACION"/>
      <sheetName val="TIPOS DE PAVIMENTOS"/>
      <sheetName val="COSTOS DE VIAS "/>
      <sheetName val="COSTOS DE ANDENES Y PARQUES "/>
      <sheetName val="PROPU DE REDES DE ACUE Y ALCAN"/>
      <sheetName val="PROPU DE ALUMBRADO PUB"/>
      <sheetName val="RED ACTUAL DE TELEFONIA "/>
      <sheetName val="RED ACTUAL DE GAS NATURAL"/>
      <sheetName val="AMBIENTALES-ESP PUBLICO-TICs "/>
      <sheetName val="SEGUIMIENTO DEMOLICIONES"/>
      <sheetName val="TARIFAS SERV."/>
      <sheetName val="PLAN. C. 13 FU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4">
          <cell r="L34">
            <v>101020.96407</v>
          </cell>
        </row>
      </sheetData>
      <sheetData sheetId="21"/>
      <sheetData sheetId="22"/>
      <sheetData sheetId="23"/>
      <sheetData sheetId="24"/>
      <sheetData sheetId="25"/>
      <sheetData sheetId="26">
        <row r="27">
          <cell r="G27">
            <v>92726.848500000007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7AEE-7D3E-420A-8B53-05BBC4682204}">
  <sheetPr>
    <tabColor rgb="FF0070C0"/>
  </sheetPr>
  <dimension ref="B1:M146"/>
  <sheetViews>
    <sheetView tabSelected="1" zoomScale="71" zoomScaleNormal="71" workbookViewId="0">
      <selection activeCell="C128" sqref="C128:C135"/>
    </sheetView>
  </sheetViews>
  <sheetFormatPr baseColWidth="10" defaultRowHeight="15" outlineLevelRow="1" outlineLevelCol="1"/>
  <cols>
    <col min="1" max="1" width="1" customWidth="1"/>
    <col min="2" max="2" width="21.140625" customWidth="1"/>
    <col min="3" max="3" width="59.140625" customWidth="1"/>
    <col min="4" max="4" width="0.85546875" customWidth="1"/>
    <col min="5" max="5" width="43.140625" customWidth="1" outlineLevel="1"/>
    <col min="6" max="6" width="14.85546875" hidden="1" customWidth="1" outlineLevel="1"/>
    <col min="7" max="7" width="22" customWidth="1"/>
    <col min="8" max="8" width="1" customWidth="1"/>
    <col min="9" max="9" width="16.7109375" customWidth="1"/>
    <col min="10" max="10" width="16.7109375" customWidth="1" outlineLevel="1"/>
    <col min="11" max="11" width="21" customWidth="1"/>
    <col min="12" max="12" width="17.42578125" customWidth="1"/>
  </cols>
  <sheetData>
    <row r="1" spans="2:11" ht="3.75" customHeight="1" thickBot="1"/>
    <row r="2" spans="2:11" ht="45.75" customHeight="1" thickBot="1">
      <c r="B2" s="250" t="s">
        <v>83</v>
      </c>
      <c r="C2" s="251"/>
      <c r="D2" s="251"/>
      <c r="E2" s="251"/>
      <c r="F2" s="251"/>
      <c r="G2" s="251"/>
      <c r="H2" s="251"/>
      <c r="I2" s="251"/>
      <c r="J2" s="251"/>
      <c r="K2" s="252"/>
    </row>
    <row r="3" spans="2:11" ht="15" customHeight="1">
      <c r="B3" s="253">
        <v>2022</v>
      </c>
      <c r="C3" s="254"/>
      <c r="E3" s="259"/>
      <c r="F3" s="260"/>
      <c r="G3" s="261"/>
      <c r="H3" s="60"/>
      <c r="I3" s="268" t="s">
        <v>84</v>
      </c>
      <c r="J3" s="269"/>
      <c r="K3" s="270"/>
    </row>
    <row r="4" spans="2:11" ht="30.75" customHeight="1">
      <c r="B4" s="255"/>
      <c r="C4" s="256"/>
      <c r="E4" s="262"/>
      <c r="F4" s="263"/>
      <c r="G4" s="264"/>
      <c r="H4" s="60"/>
      <c r="I4" s="271"/>
      <c r="J4" s="272"/>
      <c r="K4" s="273"/>
    </row>
    <row r="5" spans="2:11" ht="15" customHeight="1">
      <c r="B5" s="255"/>
      <c r="C5" s="256"/>
      <c r="E5" s="262"/>
      <c r="F5" s="263"/>
      <c r="G5" s="264"/>
      <c r="H5" s="60"/>
      <c r="I5" s="271"/>
      <c r="J5" s="272"/>
      <c r="K5" s="273"/>
    </row>
    <row r="6" spans="2:11" ht="33.75" customHeight="1" thickBot="1">
      <c r="B6" s="257"/>
      <c r="C6" s="258"/>
      <c r="E6" s="265"/>
      <c r="F6" s="266"/>
      <c r="G6" s="267"/>
      <c r="H6" s="60"/>
      <c r="I6" s="274"/>
      <c r="J6" s="275"/>
      <c r="K6" s="276"/>
    </row>
    <row r="7" spans="2:11" ht="20.25" customHeight="1" thickBot="1">
      <c r="B7" s="277" t="s">
        <v>85</v>
      </c>
      <c r="C7" s="278"/>
      <c r="E7" s="245" t="s">
        <v>86</v>
      </c>
      <c r="F7" s="283"/>
      <c r="G7" s="284" t="s">
        <v>87</v>
      </c>
      <c r="H7" s="61"/>
      <c r="I7" s="286" t="s">
        <v>88</v>
      </c>
      <c r="J7" s="287"/>
      <c r="K7" s="284" t="s">
        <v>89</v>
      </c>
    </row>
    <row r="8" spans="2:11" ht="20.25" customHeight="1">
      <c r="B8" s="279"/>
      <c r="C8" s="280"/>
      <c r="E8" s="243" t="s">
        <v>90</v>
      </c>
      <c r="F8" s="243" t="s">
        <v>91</v>
      </c>
      <c r="G8" s="285"/>
      <c r="H8" s="61"/>
      <c r="I8" s="245" t="s">
        <v>92</v>
      </c>
      <c r="J8" s="243" t="str">
        <f>+E8</f>
        <v>MANZ. 1</v>
      </c>
      <c r="K8" s="285"/>
    </row>
    <row r="9" spans="2:11" ht="15.75" customHeight="1" thickBot="1">
      <c r="B9" s="281"/>
      <c r="C9" s="282"/>
      <c r="E9" s="244"/>
      <c r="F9" s="244"/>
      <c r="G9" s="285"/>
      <c r="H9" s="64"/>
      <c r="I9" s="246"/>
      <c r="J9" s="244"/>
      <c r="K9" s="285"/>
    </row>
    <row r="10" spans="2:11" ht="15" customHeight="1" thickBot="1">
      <c r="B10" s="247" t="s">
        <v>93</v>
      </c>
      <c r="C10" s="65" t="s">
        <v>94</v>
      </c>
      <c r="E10" s="394">
        <f>SUM(E11:E12)</f>
        <v>0</v>
      </c>
      <c r="F10" s="66"/>
      <c r="G10" s="67">
        <f>SUM(E10:F10)</f>
        <v>0</v>
      </c>
      <c r="H10" s="64"/>
      <c r="I10" s="68">
        <f>+B3</f>
        <v>2022</v>
      </c>
      <c r="J10" s="69">
        <f>SUM(J11:J14)</f>
        <v>0</v>
      </c>
      <c r="K10" s="70">
        <f>SUM(J10:J10)</f>
        <v>0</v>
      </c>
    </row>
    <row r="11" spans="2:11" ht="15" customHeight="1" outlineLevel="1" thickTop="1">
      <c r="B11" s="248"/>
      <c r="C11" s="71"/>
      <c r="E11" s="395"/>
      <c r="F11" s="72"/>
      <c r="G11" s="73">
        <f>SUM(E11:F11)</f>
        <v>0</v>
      </c>
      <c r="H11" s="64"/>
      <c r="I11" s="74"/>
      <c r="J11" s="75">
        <f>+E11*$I$11</f>
        <v>0</v>
      </c>
      <c r="K11" s="75">
        <f>SUM(J11:J11)</f>
        <v>0</v>
      </c>
    </row>
    <row r="12" spans="2:11" ht="15" customHeight="1" outlineLevel="1" thickBot="1">
      <c r="B12" s="248"/>
      <c r="C12" s="71"/>
      <c r="E12" s="396"/>
      <c r="F12" s="77"/>
      <c r="G12" s="78"/>
      <c r="H12" s="64"/>
      <c r="I12" s="79"/>
      <c r="J12" s="80"/>
      <c r="K12" s="80"/>
    </row>
    <row r="13" spans="2:11" ht="15" customHeight="1" thickTop="1" thickBot="1">
      <c r="B13" s="248"/>
      <c r="C13" s="81" t="s">
        <v>95</v>
      </c>
      <c r="E13" s="396">
        <f>SUM(E14)</f>
        <v>0</v>
      </c>
      <c r="F13" s="77"/>
      <c r="G13" s="78">
        <f>SUM(E13:F13)</f>
        <v>0</v>
      </c>
      <c r="H13" s="64"/>
      <c r="I13" s="79"/>
      <c r="J13" s="82">
        <f>SUM(J14)</f>
        <v>0</v>
      </c>
      <c r="K13" s="83">
        <f t="shared" ref="K13" si="0">SUM(K14)</f>
        <v>0</v>
      </c>
    </row>
    <row r="14" spans="2:11" ht="15" customHeight="1" outlineLevel="1" thickTop="1">
      <c r="B14" s="248"/>
      <c r="C14" s="81"/>
      <c r="E14" s="395"/>
      <c r="F14" s="84"/>
      <c r="G14" s="73">
        <f>SUM(E14:F14)</f>
        <v>0</v>
      </c>
      <c r="H14" s="64"/>
      <c r="I14" s="74">
        <v>0</v>
      </c>
      <c r="J14" s="75">
        <f>+E14*$I$14</f>
        <v>0</v>
      </c>
      <c r="K14" s="75">
        <f>SUM(J14:J14)</f>
        <v>0</v>
      </c>
    </row>
    <row r="15" spans="2:11" ht="15" customHeight="1" outlineLevel="1" thickBot="1">
      <c r="B15" s="248"/>
      <c r="C15" s="81"/>
      <c r="E15" s="396"/>
      <c r="F15" s="77"/>
      <c r="G15" s="78"/>
      <c r="H15" s="64"/>
      <c r="I15" s="79"/>
      <c r="J15" s="80"/>
      <c r="K15" s="80"/>
    </row>
    <row r="16" spans="2:11" ht="15" customHeight="1" thickTop="1" thickBot="1">
      <c r="B16" s="248"/>
      <c r="C16" s="81" t="s">
        <v>96</v>
      </c>
      <c r="E16" s="396">
        <f>SUM(E17:E17)</f>
        <v>1714.2961</v>
      </c>
      <c r="F16" s="77"/>
      <c r="G16" s="78">
        <f>SUM(E16:F16)</f>
        <v>1714.2961</v>
      </c>
      <c r="H16" s="64"/>
      <c r="I16" s="79"/>
      <c r="J16" s="85">
        <f>SUM(J17:J17)</f>
        <v>1062863582</v>
      </c>
      <c r="K16" s="86">
        <f>SUM(K17:K17)</f>
        <v>1062863582</v>
      </c>
    </row>
    <row r="17" spans="2:11" ht="15" customHeight="1" outlineLevel="1" thickTop="1">
      <c r="B17" s="248"/>
      <c r="C17" s="379" t="s">
        <v>171</v>
      </c>
      <c r="E17" s="395">
        <f>+'ÁREAS GENERALES'!C20</f>
        <v>1714.2961</v>
      </c>
      <c r="F17" s="72"/>
      <c r="G17" s="73">
        <f>SUM(E17:F17)</f>
        <v>1714.2961</v>
      </c>
      <c r="H17" s="64"/>
      <c r="I17" s="74">
        <v>620000</v>
      </c>
      <c r="J17" s="75">
        <f>+E17*$I$17</f>
        <v>1062863582</v>
      </c>
      <c r="K17" s="75">
        <f>SUM(J17:J17)</f>
        <v>1062863582</v>
      </c>
    </row>
    <row r="18" spans="2:11" ht="15" customHeight="1" outlineLevel="1" thickBot="1">
      <c r="B18" s="248"/>
      <c r="C18" s="87"/>
      <c r="E18" s="395"/>
      <c r="F18" s="72"/>
      <c r="G18" s="73"/>
      <c r="H18" s="64"/>
      <c r="I18" s="74"/>
      <c r="J18" s="75"/>
      <c r="K18" s="75"/>
    </row>
    <row r="19" spans="2:11" ht="42" customHeight="1" thickTop="1" thickBot="1">
      <c r="B19" s="249"/>
      <c r="C19" s="88" t="s">
        <v>97</v>
      </c>
      <c r="D19" s="89"/>
      <c r="E19" s="397">
        <f>+E16+E10+E13</f>
        <v>1714.2961</v>
      </c>
      <c r="F19" s="90"/>
      <c r="G19" s="91">
        <f>+G16+G10+G13</f>
        <v>1714.2961</v>
      </c>
      <c r="H19" s="92"/>
      <c r="I19" s="93"/>
      <c r="J19" s="94">
        <f>+J16+J10+J13</f>
        <v>1062863582</v>
      </c>
      <c r="K19" s="95">
        <f>+K10+K16+K13</f>
        <v>1062863582</v>
      </c>
    </row>
    <row r="20" spans="2:11" ht="4.5" customHeight="1" thickBot="1">
      <c r="B20" s="96"/>
      <c r="C20" s="96"/>
      <c r="E20" s="60"/>
      <c r="G20" s="97"/>
      <c r="I20" s="98"/>
      <c r="J20" s="99"/>
      <c r="K20" s="99"/>
    </row>
    <row r="21" spans="2:11" ht="15.75" outlineLevel="1" thickBot="1">
      <c r="B21" s="247" t="s">
        <v>98</v>
      </c>
      <c r="C21" s="100" t="s">
        <v>99</v>
      </c>
      <c r="E21" s="398">
        <f>SUM(E22:E24)</f>
        <v>2358.2948999999999</v>
      </c>
      <c r="F21" s="66"/>
      <c r="G21" s="67">
        <f>SUM(E21:F21)</f>
        <v>2358.2948999999999</v>
      </c>
      <c r="I21" s="101"/>
      <c r="J21" s="69">
        <f>SUM(J22:J24)</f>
        <v>518824878</v>
      </c>
      <c r="K21" s="70">
        <f>SUM(J21:J21)</f>
        <v>518824878</v>
      </c>
    </row>
    <row r="22" spans="2:11" ht="15.75" outlineLevel="1" thickTop="1">
      <c r="B22" s="248"/>
      <c r="C22" s="87" t="s">
        <v>40</v>
      </c>
      <c r="E22" s="399">
        <f>+'ÁREAS GENERALES'!C19</f>
        <v>817.33609999999999</v>
      </c>
      <c r="F22" s="72"/>
      <c r="G22" s="73"/>
      <c r="I22" s="103">
        <v>220000</v>
      </c>
      <c r="J22" s="75">
        <f>+E22*$I$22</f>
        <v>179813942</v>
      </c>
      <c r="K22" s="75">
        <f>SUM(J22:J22)</f>
        <v>179813942</v>
      </c>
    </row>
    <row r="23" spans="2:11" outlineLevel="1">
      <c r="B23" s="248"/>
      <c r="C23" s="87" t="s">
        <v>101</v>
      </c>
      <c r="E23" s="399">
        <f>+'ÁREAS GENERALES'!C16</f>
        <v>1540.9588000000001</v>
      </c>
      <c r="F23" s="72"/>
      <c r="G23" s="73"/>
      <c r="I23" s="74">
        <v>220000</v>
      </c>
      <c r="J23" s="75">
        <f>+E23*$I$23</f>
        <v>339010936</v>
      </c>
      <c r="K23" s="75">
        <f>SUM(J23:J23)</f>
        <v>339010936</v>
      </c>
    </row>
    <row r="24" spans="2:11" ht="15.75" outlineLevel="1" thickBot="1">
      <c r="B24" s="248"/>
      <c r="C24" s="104"/>
      <c r="E24" s="400"/>
      <c r="F24" s="77"/>
      <c r="G24" s="78"/>
      <c r="I24" s="79"/>
      <c r="J24" s="80"/>
      <c r="K24" s="80"/>
    </row>
    <row r="25" spans="2:11" ht="16.5" outlineLevel="1" thickTop="1" thickBot="1">
      <c r="B25" s="248"/>
      <c r="C25" s="104" t="s">
        <v>102</v>
      </c>
      <c r="E25" s="400">
        <f>+E26+E34+E30</f>
        <v>6149.6538</v>
      </c>
      <c r="F25" s="77"/>
      <c r="G25" s="78">
        <f>SUM(E25:F25)</f>
        <v>6149.6538</v>
      </c>
      <c r="I25" s="79"/>
      <c r="J25" s="105">
        <f>+J26+J34+J30</f>
        <v>1640343684</v>
      </c>
      <c r="K25" s="106">
        <f>SUM(J25:J25)</f>
        <v>1640343684</v>
      </c>
    </row>
    <row r="26" spans="2:11" ht="16.5" outlineLevel="1" thickTop="1" thickBot="1">
      <c r="B26" s="248"/>
      <c r="C26" s="104" t="s">
        <v>103</v>
      </c>
      <c r="E26" s="401">
        <f>SUM(E27:E29)</f>
        <v>4445.05</v>
      </c>
      <c r="F26" s="108"/>
      <c r="G26" s="107">
        <f>SUM(E26:F26)</f>
        <v>4445.05</v>
      </c>
      <c r="I26" s="109"/>
      <c r="J26" s="110">
        <f>SUM(J27:J29)</f>
        <v>1333515000</v>
      </c>
      <c r="K26" s="80">
        <f>SUM(J26:J26)</f>
        <v>1333515000</v>
      </c>
    </row>
    <row r="27" spans="2:11" ht="15.75" outlineLevel="1" thickTop="1">
      <c r="B27" s="248"/>
      <c r="C27" s="87" t="s">
        <v>104</v>
      </c>
      <c r="E27" s="399"/>
      <c r="F27" s="72"/>
      <c r="G27" s="73">
        <f>SUM(E27:F27)</f>
        <v>0</v>
      </c>
      <c r="I27" s="74">
        <f>+'[1]COSTOS DE ANDENES Y PARQUES '!L34</f>
        <v>101020.96407</v>
      </c>
      <c r="J27" s="75">
        <f>+E27*$I$27</f>
        <v>0</v>
      </c>
      <c r="K27" s="75">
        <f>SUM(J27:J27)</f>
        <v>0</v>
      </c>
    </row>
    <row r="28" spans="2:11" outlineLevel="1">
      <c r="B28" s="248"/>
      <c r="C28" s="87" t="s">
        <v>173</v>
      </c>
      <c r="E28" s="399">
        <f>+'ÁREAS GENERALES'!C23</f>
        <v>4445.05</v>
      </c>
      <c r="F28" s="72"/>
      <c r="G28" s="73">
        <f>SUM(E28:F28)</f>
        <v>4445.05</v>
      </c>
      <c r="I28" s="74">
        <v>300000</v>
      </c>
      <c r="J28" s="75">
        <f>+E28*$I$28</f>
        <v>1333515000</v>
      </c>
      <c r="K28" s="75">
        <f>SUM(J28:J28)</f>
        <v>1333515000</v>
      </c>
    </row>
    <row r="29" spans="2:11" ht="15.75" outlineLevel="1" thickBot="1">
      <c r="B29" s="248"/>
      <c r="C29" s="87"/>
      <c r="E29" s="400"/>
      <c r="F29" s="77"/>
      <c r="G29" s="78"/>
      <c r="I29" s="74"/>
      <c r="J29" s="80"/>
      <c r="K29" s="80"/>
    </row>
    <row r="30" spans="2:11" ht="28.5" customHeight="1" outlineLevel="1" thickTop="1" thickBot="1">
      <c r="B30" s="248"/>
      <c r="C30" s="111" t="s">
        <v>105</v>
      </c>
      <c r="D30" s="112"/>
      <c r="E30" s="402">
        <f>SUM(E31:E32)</f>
        <v>1704.6037999999999</v>
      </c>
      <c r="F30" s="114"/>
      <c r="G30" s="113">
        <f>SUM(E30:F30)</f>
        <v>1704.6037999999999</v>
      </c>
      <c r="H30" s="112"/>
      <c r="I30" s="109"/>
      <c r="J30" s="82">
        <f>SUM(J31:J32)</f>
        <v>306828684</v>
      </c>
      <c r="K30" s="82">
        <f>SUM(J30:J30)</f>
        <v>306828684</v>
      </c>
    </row>
    <row r="31" spans="2:11" ht="15" customHeight="1" outlineLevel="1" thickTop="1">
      <c r="B31" s="248"/>
      <c r="C31" s="87" t="s">
        <v>177</v>
      </c>
      <c r="E31" s="399">
        <f>+'ÁREAS GENERALES'!C12</f>
        <v>498.90249999999997</v>
      </c>
      <c r="F31" s="102"/>
      <c r="G31" s="73">
        <f>SUM(E31:F31)</f>
        <v>498.90249999999997</v>
      </c>
      <c r="I31" s="74">
        <v>180000</v>
      </c>
      <c r="J31" s="75">
        <f>+$I$31*E31</f>
        <v>89802450</v>
      </c>
      <c r="K31" s="75">
        <f>SUM(J31:J31)</f>
        <v>89802450</v>
      </c>
    </row>
    <row r="32" spans="2:11" ht="15" customHeight="1" outlineLevel="1">
      <c r="B32" s="248"/>
      <c r="C32" s="87" t="s">
        <v>100</v>
      </c>
      <c r="E32" s="399">
        <f>+'ÁREAS GENERALES'!C13</f>
        <v>1205.7012999999999</v>
      </c>
      <c r="F32" s="102"/>
      <c r="G32" s="73">
        <f>SUM(E32:F32)</f>
        <v>1205.7012999999999</v>
      </c>
      <c r="I32" s="74">
        <v>180000</v>
      </c>
      <c r="J32" s="75">
        <f>+$I$31*E32</f>
        <v>217026234</v>
      </c>
      <c r="K32" s="75">
        <f>SUM(J32:J32)</f>
        <v>217026234</v>
      </c>
    </row>
    <row r="33" spans="2:12" ht="15.75" outlineLevel="1" thickBot="1">
      <c r="B33" s="248"/>
      <c r="C33" s="87"/>
      <c r="E33" s="400"/>
      <c r="F33" s="77"/>
      <c r="G33" s="78"/>
      <c r="I33" s="74"/>
      <c r="J33" s="80"/>
      <c r="K33" s="80"/>
    </row>
    <row r="34" spans="2:12" ht="28.5" customHeight="1" outlineLevel="1" thickTop="1" thickBot="1">
      <c r="B34" s="248"/>
      <c r="C34" s="111" t="s">
        <v>106</v>
      </c>
      <c r="D34" s="112"/>
      <c r="E34" s="403">
        <f>SUM(E35:E36)</f>
        <v>0</v>
      </c>
      <c r="F34" s="116"/>
      <c r="G34" s="115">
        <f>SUM(E34:F34)</f>
        <v>0</v>
      </c>
      <c r="H34" s="112"/>
      <c r="I34" s="109"/>
      <c r="J34" s="82">
        <f>SUM(J35:J36)</f>
        <v>0</v>
      </c>
      <c r="K34" s="85">
        <f>SUM(J34:J34)</f>
        <v>0</v>
      </c>
    </row>
    <row r="35" spans="2:12" ht="15.75" outlineLevel="1" thickTop="1">
      <c r="B35" s="248"/>
      <c r="C35" s="87" t="s">
        <v>107</v>
      </c>
      <c r="E35" s="404"/>
      <c r="F35" s="72"/>
      <c r="G35" s="73">
        <f>SUM(E35:F35)</f>
        <v>0</v>
      </c>
      <c r="I35" s="74">
        <v>120000</v>
      </c>
      <c r="J35" s="75">
        <f>+E35*$I$35</f>
        <v>0</v>
      </c>
      <c r="K35" s="75">
        <f>SUM(J35:J35)</f>
        <v>0</v>
      </c>
    </row>
    <row r="36" spans="2:12" ht="15.75" outlineLevel="1" thickBot="1">
      <c r="B36" s="248"/>
      <c r="C36" s="87"/>
      <c r="E36" s="400"/>
      <c r="F36" s="77"/>
      <c r="G36" s="78"/>
      <c r="I36" s="79"/>
      <c r="J36" s="80"/>
      <c r="K36" s="80"/>
    </row>
    <row r="37" spans="2:12" ht="42.75" customHeight="1" thickTop="1" thickBot="1">
      <c r="B37" s="249"/>
      <c r="C37" s="88" t="s">
        <v>108</v>
      </c>
      <c r="D37" s="89"/>
      <c r="E37" s="405">
        <f>+E21+E25</f>
        <v>8507.9487000000008</v>
      </c>
      <c r="F37" s="117"/>
      <c r="G37" s="118">
        <f>+G21+G25</f>
        <v>8507.9487000000008</v>
      </c>
      <c r="H37" s="89"/>
      <c r="I37" s="119"/>
      <c r="J37" s="120">
        <f>+J21+J25</f>
        <v>2159168562</v>
      </c>
      <c r="K37" s="121">
        <f>+K21+K25</f>
        <v>2159168562</v>
      </c>
      <c r="L37" s="99"/>
    </row>
    <row r="38" spans="2:12" ht="3.75" customHeight="1" thickBot="1">
      <c r="E38" s="242"/>
      <c r="G38" s="123"/>
      <c r="I38" s="124"/>
      <c r="J38" s="76">
        <f>+E38*$I$29</f>
        <v>0</v>
      </c>
      <c r="K38" s="76"/>
    </row>
    <row r="39" spans="2:12" ht="15" customHeight="1" outlineLevel="1">
      <c r="B39" s="288" t="s">
        <v>109</v>
      </c>
      <c r="C39" s="125" t="s">
        <v>178</v>
      </c>
      <c r="E39" s="406">
        <f>+'ÁREAS GENERALES'!C7</f>
        <v>224.3954</v>
      </c>
      <c r="F39" s="126"/>
      <c r="G39" s="127">
        <f>SUM(E39:F39)</f>
        <v>224.3954</v>
      </c>
      <c r="I39" s="103">
        <v>70000</v>
      </c>
      <c r="J39" s="128">
        <f>+E39*$I$39</f>
        <v>15707678</v>
      </c>
      <c r="K39" s="128">
        <f>SUM(J39:J39)</f>
        <v>15707678</v>
      </c>
    </row>
    <row r="40" spans="2:12" ht="15" customHeight="1" outlineLevel="1">
      <c r="B40" s="289"/>
      <c r="C40" s="87" t="s">
        <v>110</v>
      </c>
      <c r="E40" s="407">
        <f>+'ÁREAS GENERALES'!C8</f>
        <v>2675.6522</v>
      </c>
      <c r="F40" s="102"/>
      <c r="G40" s="73">
        <f>SUM(E40:F40)</f>
        <v>2675.6522</v>
      </c>
      <c r="I40" s="74">
        <v>70000</v>
      </c>
      <c r="J40" s="75">
        <f>+E40*$I$40</f>
        <v>187295654</v>
      </c>
      <c r="K40" s="75">
        <f>SUM(J40:J40)</f>
        <v>187295654</v>
      </c>
    </row>
    <row r="41" spans="2:12" ht="15" customHeight="1" outlineLevel="1">
      <c r="B41" s="289"/>
      <c r="C41" s="87" t="s">
        <v>179</v>
      </c>
      <c r="E41" s="407">
        <v>2500</v>
      </c>
      <c r="F41" s="102"/>
      <c r="G41" s="73">
        <f>SUM(E41:F41)</f>
        <v>2500</v>
      </c>
      <c r="I41" s="74">
        <v>130000</v>
      </c>
      <c r="J41" s="75">
        <f>+E41*$I$40</f>
        <v>175000000</v>
      </c>
      <c r="K41" s="75">
        <f>SUM(J41:J41)</f>
        <v>175000000</v>
      </c>
    </row>
    <row r="42" spans="2:12" ht="15.75" outlineLevel="1" thickBot="1">
      <c r="B42" s="289"/>
      <c r="C42" s="87"/>
      <c r="E42" s="395"/>
      <c r="F42" s="102"/>
      <c r="G42" s="73"/>
      <c r="I42" s="79"/>
      <c r="J42" s="80"/>
      <c r="K42" s="80"/>
    </row>
    <row r="43" spans="2:12" ht="45" customHeight="1" thickTop="1" thickBot="1">
      <c r="B43" s="290"/>
      <c r="C43" s="129" t="s">
        <v>111</v>
      </c>
      <c r="D43" s="89"/>
      <c r="E43" s="397">
        <f>SUM(E39:E42)</f>
        <v>5400.0475999999999</v>
      </c>
      <c r="F43" s="130"/>
      <c r="G43" s="91">
        <f>SUM(E43:F43)</f>
        <v>5400.0475999999999</v>
      </c>
      <c r="H43" s="89"/>
      <c r="I43" s="131"/>
      <c r="J43" s="132">
        <f>SUM(J38:J42)</f>
        <v>378003332</v>
      </c>
      <c r="K43" s="133">
        <f>SUM(J43:J43)</f>
        <v>378003332</v>
      </c>
    </row>
    <row r="44" spans="2:12" ht="4.5" customHeight="1" thickBot="1">
      <c r="I44" s="112"/>
      <c r="J44" s="99"/>
      <c r="K44" s="99"/>
    </row>
    <row r="45" spans="2:12" ht="18" customHeight="1" outlineLevel="1">
      <c r="B45" s="247" t="s">
        <v>112</v>
      </c>
      <c r="C45" s="134" t="s">
        <v>180</v>
      </c>
      <c r="D45" s="135"/>
      <c r="E45" s="300" t="s">
        <v>113</v>
      </c>
      <c r="F45" s="301"/>
      <c r="G45" s="302"/>
      <c r="H45" s="92"/>
      <c r="I45" s="136"/>
      <c r="J45" s="137">
        <v>290000000</v>
      </c>
      <c r="K45" s="138">
        <f>SUM(J45:J45)</f>
        <v>290000000</v>
      </c>
    </row>
    <row r="46" spans="2:12" ht="18" customHeight="1" outlineLevel="1">
      <c r="B46" s="248"/>
      <c r="C46" s="139" t="s">
        <v>114</v>
      </c>
      <c r="D46" s="135"/>
      <c r="E46" s="303" t="s">
        <v>113</v>
      </c>
      <c r="F46" s="304"/>
      <c r="G46" s="305"/>
      <c r="H46" s="92"/>
      <c r="I46" s="140">
        <v>0.2</v>
      </c>
      <c r="J46" s="141">
        <f>+J45*I46</f>
        <v>58000000</v>
      </c>
      <c r="K46" s="142">
        <f>SUM(J46:J46)</f>
        <v>58000000</v>
      </c>
    </row>
    <row r="47" spans="2:12" ht="18" customHeight="1" outlineLevel="1">
      <c r="B47" s="248"/>
      <c r="C47" s="139" t="s">
        <v>181</v>
      </c>
      <c r="D47" s="135"/>
      <c r="E47" s="303" t="s">
        <v>113</v>
      </c>
      <c r="F47" s="304"/>
      <c r="G47" s="305"/>
      <c r="H47" s="92"/>
      <c r="I47" s="140"/>
      <c r="J47" s="141">
        <v>3000000000</v>
      </c>
      <c r="K47" s="142">
        <f>SUM(J47:J47)</f>
        <v>3000000000</v>
      </c>
    </row>
    <row r="48" spans="2:12" ht="18" customHeight="1" outlineLevel="1">
      <c r="B48" s="248"/>
      <c r="C48" s="139" t="s">
        <v>115</v>
      </c>
      <c r="D48" s="135"/>
      <c r="E48" s="303" t="s">
        <v>113</v>
      </c>
      <c r="F48" s="304"/>
      <c r="G48" s="305"/>
      <c r="H48" s="92"/>
      <c r="I48" s="140">
        <v>0.2</v>
      </c>
      <c r="J48" s="141">
        <f>+J47*I48</f>
        <v>600000000</v>
      </c>
      <c r="K48" s="142">
        <f>SUM(J48:J48)</f>
        <v>600000000</v>
      </c>
    </row>
    <row r="49" spans="2:12" ht="25.5" outlineLevel="1">
      <c r="B49" s="248"/>
      <c r="C49" s="143" t="s">
        <v>116</v>
      </c>
      <c r="D49" s="135"/>
      <c r="E49" s="303" t="s">
        <v>113</v>
      </c>
      <c r="F49" s="304"/>
      <c r="G49" s="305"/>
      <c r="H49" s="92"/>
      <c r="I49" s="140">
        <v>0.04</v>
      </c>
      <c r="J49" s="141">
        <v>20000000</v>
      </c>
      <c r="K49" s="142">
        <f>SUM(J49:J49)</f>
        <v>20000000</v>
      </c>
    </row>
    <row r="50" spans="2:12" ht="24.95" customHeight="1" outlineLevel="1" thickBot="1">
      <c r="B50" s="248"/>
      <c r="C50" s="139" t="s">
        <v>182</v>
      </c>
      <c r="D50" s="135"/>
      <c r="E50" s="306" t="s">
        <v>117</v>
      </c>
      <c r="F50" s="307"/>
      <c r="G50" s="308"/>
      <c r="H50" s="92"/>
      <c r="I50" s="144"/>
      <c r="J50" s="145">
        <v>550000000</v>
      </c>
      <c r="K50" s="146">
        <f>SUM(J50:J50)</f>
        <v>550000000</v>
      </c>
    </row>
    <row r="51" spans="2:12" ht="51" customHeight="1" thickTop="1" thickBot="1">
      <c r="B51" s="249"/>
      <c r="C51" s="88" t="s">
        <v>118</v>
      </c>
      <c r="D51" s="147"/>
      <c r="E51" s="309" t="s">
        <v>118</v>
      </c>
      <c r="F51" s="310"/>
      <c r="G51" s="311"/>
      <c r="H51" s="92"/>
      <c r="I51" s="148"/>
      <c r="J51" s="149">
        <f>SUM(J45:J50)</f>
        <v>4518000000</v>
      </c>
      <c r="K51" s="133">
        <f>SUM(J51:J51)</f>
        <v>4518000000</v>
      </c>
    </row>
    <row r="52" spans="2:12" ht="5.25" customHeight="1" thickBot="1">
      <c r="I52" s="150"/>
      <c r="J52" s="99"/>
      <c r="K52" s="99"/>
    </row>
    <row r="53" spans="2:12" ht="39" customHeight="1" outlineLevel="1" thickBot="1">
      <c r="B53" s="288" t="s">
        <v>119</v>
      </c>
      <c r="C53" s="151"/>
      <c r="D53" s="92"/>
      <c r="E53" s="291" t="s">
        <v>120</v>
      </c>
      <c r="F53" s="292"/>
      <c r="G53" s="293"/>
      <c r="H53" s="92"/>
      <c r="I53" s="62" t="s">
        <v>121</v>
      </c>
      <c r="J53" s="152">
        <f>+(J51+J43+J37+J19)</f>
        <v>8118035476</v>
      </c>
      <c r="K53" s="153">
        <f>SUM(J53:J53)</f>
        <v>8118035476</v>
      </c>
      <c r="L53" s="99"/>
    </row>
    <row r="54" spans="2:12" ht="48" customHeight="1">
      <c r="B54" s="289"/>
      <c r="C54" s="139" t="s">
        <v>122</v>
      </c>
      <c r="D54" s="92"/>
      <c r="E54" s="294" t="s">
        <v>123</v>
      </c>
      <c r="F54" s="295"/>
      <c r="G54" s="296"/>
      <c r="H54" s="92"/>
      <c r="I54" s="154">
        <v>0.21</v>
      </c>
      <c r="J54" s="142">
        <f>+J53*$I$54</f>
        <v>1704787449.96</v>
      </c>
      <c r="K54" s="142">
        <f>SUM(J54:J54)</f>
        <v>1704787449.96</v>
      </c>
    </row>
    <row r="55" spans="2:12" ht="47.25" customHeight="1" outlineLevel="1">
      <c r="B55" s="289"/>
      <c r="C55" s="139" t="s">
        <v>124</v>
      </c>
      <c r="D55" s="92"/>
      <c r="E55" s="294" t="s">
        <v>125</v>
      </c>
      <c r="F55" s="295"/>
      <c r="G55" s="296"/>
      <c r="H55" s="92"/>
      <c r="I55" s="154">
        <v>0.04</v>
      </c>
      <c r="J55" s="142">
        <f>+J53*$I$55*1.19</f>
        <v>386418488.65759999</v>
      </c>
      <c r="K55" s="142">
        <f>SUM(J55:J55)</f>
        <v>386418488.65759999</v>
      </c>
    </row>
    <row r="56" spans="2:12" ht="48" customHeight="1" outlineLevel="1">
      <c r="B56" s="289"/>
      <c r="C56" s="139" t="s">
        <v>126</v>
      </c>
      <c r="D56" s="92"/>
      <c r="E56" s="294" t="s">
        <v>127</v>
      </c>
      <c r="F56" s="295"/>
      <c r="G56" s="296"/>
      <c r="H56" s="92"/>
      <c r="I56" s="154">
        <v>0.15</v>
      </c>
      <c r="J56" s="142">
        <f>+J55*$I$56*1.19</f>
        <v>68975700.225381598</v>
      </c>
      <c r="K56" s="142">
        <f>SUM(J56:J56)</f>
        <v>68975700.225381598</v>
      </c>
    </row>
    <row r="57" spans="2:12" ht="48" customHeight="1" outlineLevel="1" thickBot="1">
      <c r="B57" s="289"/>
      <c r="C57" s="139" t="s">
        <v>128</v>
      </c>
      <c r="D57" s="92"/>
      <c r="E57" s="294" t="s">
        <v>129</v>
      </c>
      <c r="F57" s="295"/>
      <c r="G57" s="296"/>
      <c r="H57" s="92"/>
      <c r="I57" s="155">
        <v>0.04</v>
      </c>
      <c r="J57" s="146">
        <f>+(J53+J54)*$I$57*1.19</f>
        <v>467566371.27569598</v>
      </c>
      <c r="K57" s="146">
        <f>SUM(J57:J57)</f>
        <v>467566371.27569598</v>
      </c>
    </row>
    <row r="58" spans="2:12" ht="42.75" customHeight="1" thickTop="1" thickBot="1">
      <c r="B58" s="290"/>
      <c r="C58" s="88" t="s">
        <v>130</v>
      </c>
      <c r="D58" s="92"/>
      <c r="E58" s="297" t="s">
        <v>131</v>
      </c>
      <c r="F58" s="298"/>
      <c r="G58" s="299"/>
      <c r="H58" s="92"/>
      <c r="I58" s="156"/>
      <c r="J58" s="132">
        <f>SUM(J54:J57)</f>
        <v>2627748010.1186771</v>
      </c>
      <c r="K58" s="133">
        <f>SUM(J58:J58)</f>
        <v>2627748010.1186771</v>
      </c>
    </row>
    <row r="59" spans="2:12" ht="4.5" customHeight="1" thickBot="1">
      <c r="I59" s="112"/>
      <c r="J59" s="99"/>
      <c r="K59" s="99"/>
    </row>
    <row r="60" spans="2:12" ht="27.75" customHeight="1" outlineLevel="1">
      <c r="B60" s="288" t="s">
        <v>132</v>
      </c>
      <c r="C60" s="157" t="s">
        <v>133</v>
      </c>
      <c r="E60" s="158">
        <v>26177.979999999996</v>
      </c>
      <c r="F60" s="159"/>
      <c r="G60" s="160">
        <f>SUM(E60:F60)</f>
        <v>26177.979999999996</v>
      </c>
      <c r="H60" s="64"/>
      <c r="I60" s="161">
        <v>120000</v>
      </c>
      <c r="J60" s="137">
        <f>+E60*$I$60</f>
        <v>3141357599.9999995</v>
      </c>
      <c r="K60" s="138">
        <f>SUM(J60:J60)</f>
        <v>3141357599.9999995</v>
      </c>
    </row>
    <row r="61" spans="2:12" ht="24.75" customHeight="1" outlineLevel="1">
      <c r="B61" s="289"/>
      <c r="C61" s="143" t="s">
        <v>172</v>
      </c>
      <c r="E61" s="383">
        <v>24</v>
      </c>
      <c r="F61" s="380"/>
      <c r="G61" s="381" t="s">
        <v>175</v>
      </c>
      <c r="H61" s="64"/>
      <c r="I61" s="382">
        <v>10000000</v>
      </c>
      <c r="J61" s="141">
        <f>+I61*E61</f>
        <v>240000000</v>
      </c>
      <c r="K61" s="142">
        <f>SUM(J61:J61)</f>
        <v>240000000</v>
      </c>
    </row>
    <row r="62" spans="2:12" ht="30.75" customHeight="1" outlineLevel="1" thickBot="1">
      <c r="B62" s="289"/>
      <c r="C62" s="143" t="s">
        <v>183</v>
      </c>
      <c r="E62" s="162">
        <v>500</v>
      </c>
      <c r="F62" s="163"/>
      <c r="G62" s="164">
        <f>SUM(E62:F62)</f>
        <v>500</v>
      </c>
      <c r="H62" s="64"/>
      <c r="I62" s="165">
        <f>+'[1]SEGUIMIENTO DEMOLICIONES'!G27+'[1]SEGUIMIENTO DEMOLICIONES'!G27*21%</f>
        <v>112199.48668500001</v>
      </c>
      <c r="J62" s="145">
        <f>+E62*$I$62</f>
        <v>56099743.342500009</v>
      </c>
      <c r="K62" s="146">
        <f>SUM(J62:J62)</f>
        <v>56099743.342500009</v>
      </c>
    </row>
    <row r="63" spans="2:12" ht="48" customHeight="1" thickTop="1" thickBot="1">
      <c r="B63" s="290"/>
      <c r="C63" s="88" t="s">
        <v>134</v>
      </c>
      <c r="E63" s="312" t="s">
        <v>134</v>
      </c>
      <c r="F63" s="313"/>
      <c r="G63" s="314"/>
      <c r="H63" s="64"/>
      <c r="I63" s="166"/>
      <c r="J63" s="167">
        <f>SUM(J60:J62)</f>
        <v>3437457343.3424997</v>
      </c>
      <c r="K63" s="133">
        <f>SUM(J63:J63)</f>
        <v>3437457343.3424997</v>
      </c>
    </row>
    <row r="64" spans="2:12" ht="3.75" customHeight="1" thickBot="1">
      <c r="E64" s="168"/>
      <c r="F64" s="168"/>
      <c r="I64" s="98"/>
      <c r="J64" s="99"/>
      <c r="K64" s="99"/>
    </row>
    <row r="65" spans="2:13" ht="25.5" customHeight="1" outlineLevel="1" thickBot="1">
      <c r="B65" s="247" t="s">
        <v>135</v>
      </c>
      <c r="C65" s="134"/>
      <c r="E65" s="169">
        <f>SUM(E66:E68)</f>
        <v>3939.1457</v>
      </c>
      <c r="F65" s="169">
        <v>0</v>
      </c>
      <c r="G65" s="170">
        <f>SUM(E65:F65)</f>
        <v>3939.1457</v>
      </c>
      <c r="H65" s="64"/>
      <c r="I65" s="171">
        <v>2500000</v>
      </c>
      <c r="J65" s="172">
        <f>+E65*$I$65</f>
        <v>9847864250</v>
      </c>
      <c r="K65" s="172">
        <f>SUM(J65:J65)</f>
        <v>9847864250</v>
      </c>
    </row>
    <row r="66" spans="2:13" ht="25.5" customHeight="1" outlineLevel="1" thickTop="1">
      <c r="B66" s="248"/>
      <c r="C66" s="139" t="s">
        <v>174</v>
      </c>
      <c r="E66" s="158">
        <f>+'Área Útil'!D88</f>
        <v>3939.1457</v>
      </c>
      <c r="F66" s="173"/>
      <c r="G66" s="385">
        <f>+'Área Útil'!D88</f>
        <v>3939.1457</v>
      </c>
      <c r="H66" s="64"/>
      <c r="I66" s="140">
        <f>+I54</f>
        <v>0.21</v>
      </c>
      <c r="J66" s="142">
        <f>+J65*$I$66</f>
        <v>2068051492.5</v>
      </c>
      <c r="K66" s="142">
        <f>SUM(J66:J66)</f>
        <v>2068051492.5</v>
      </c>
      <c r="M66" s="6"/>
    </row>
    <row r="67" spans="2:13" ht="44.25" customHeight="1" outlineLevel="1">
      <c r="B67" s="248"/>
      <c r="C67" s="143" t="s">
        <v>169</v>
      </c>
      <c r="E67" s="173"/>
      <c r="F67" s="173"/>
      <c r="G67" s="174"/>
      <c r="H67" s="64"/>
      <c r="I67" s="140">
        <v>0.06</v>
      </c>
      <c r="J67" s="142">
        <f>+(J65)*$I$67</f>
        <v>590871855</v>
      </c>
      <c r="K67" s="142">
        <f>SUM(J67:J67)</f>
        <v>590871855</v>
      </c>
    </row>
    <row r="68" spans="2:13" ht="42.75" customHeight="1" outlineLevel="1">
      <c r="B68" s="248"/>
      <c r="C68" s="143" t="s">
        <v>170</v>
      </c>
      <c r="E68" s="173"/>
      <c r="F68" s="173"/>
      <c r="G68" s="174"/>
      <c r="H68" s="64"/>
      <c r="I68" s="140">
        <f>+I56</f>
        <v>0.15</v>
      </c>
      <c r="J68" s="142">
        <f>+J67*$I$68*1.15</f>
        <v>101925394.9875</v>
      </c>
      <c r="K68" s="142">
        <f>SUM(J68:J68)</f>
        <v>101925394.9875</v>
      </c>
    </row>
    <row r="69" spans="2:13" ht="42.75" customHeight="1" outlineLevel="1" thickBot="1">
      <c r="B69" s="248"/>
      <c r="C69" s="143" t="s">
        <v>165</v>
      </c>
      <c r="E69" s="175"/>
      <c r="F69" s="175"/>
      <c r="G69" s="174"/>
      <c r="H69" s="64"/>
      <c r="I69" s="144">
        <f>+I57</f>
        <v>0.04</v>
      </c>
      <c r="J69" s="146">
        <f>+(J65+J66)*$I$69*1.16</f>
        <v>552898490.4519999</v>
      </c>
      <c r="K69" s="142">
        <f>SUM(J69:J69)</f>
        <v>552898490.4519999</v>
      </c>
    </row>
    <row r="70" spans="2:13" ht="25.5" customHeight="1" outlineLevel="1" thickTop="1" thickBot="1">
      <c r="B70" s="248"/>
      <c r="C70" s="176" t="s">
        <v>136</v>
      </c>
      <c r="E70" s="384"/>
      <c r="F70" s="384"/>
      <c r="G70" s="91">
        <f>SUM(G65:G69)</f>
        <v>7878.2914000000001</v>
      </c>
      <c r="H70" s="64"/>
      <c r="I70" s="177"/>
      <c r="J70" s="178">
        <f>SUM(J65:J69)</f>
        <v>13161611482.939499</v>
      </c>
      <c r="K70" s="179">
        <f>SUM(K65:K69)</f>
        <v>13161611482.939499</v>
      </c>
    </row>
    <row r="71" spans="2:13" ht="95.25" customHeight="1" thickBot="1">
      <c r="B71" s="249"/>
      <c r="C71" s="180" t="s">
        <v>137</v>
      </c>
      <c r="E71" s="315" t="s">
        <v>138</v>
      </c>
      <c r="F71" s="316"/>
      <c r="G71" s="317"/>
      <c r="H71" s="64"/>
      <c r="I71" s="181"/>
      <c r="J71" s="182">
        <f>+J70</f>
        <v>13161611482.939499</v>
      </c>
      <c r="K71" s="153">
        <f>+K70</f>
        <v>13161611482.939499</v>
      </c>
    </row>
    <row r="72" spans="2:13" ht="4.5" customHeight="1" thickBot="1">
      <c r="E72" s="168"/>
      <c r="F72" s="168"/>
      <c r="G72" s="168"/>
    </row>
    <row r="73" spans="2:13" ht="36.75" customHeight="1" thickBot="1">
      <c r="B73" s="318" t="s">
        <v>139</v>
      </c>
      <c r="C73" s="319"/>
      <c r="D73" s="319"/>
      <c r="E73" s="319"/>
      <c r="F73" s="319"/>
      <c r="G73" s="320"/>
      <c r="I73" s="183" t="s">
        <v>140</v>
      </c>
      <c r="J73" s="184" t="str">
        <f>+J8</f>
        <v>MANZ. 1</v>
      </c>
      <c r="K73" s="185" t="s">
        <v>141</v>
      </c>
    </row>
    <row r="74" spans="2:13" ht="24" customHeight="1" thickBot="1">
      <c r="B74" s="321"/>
      <c r="C74" s="322"/>
      <c r="D74" s="322"/>
      <c r="E74" s="322"/>
      <c r="F74" s="322"/>
      <c r="G74" s="323"/>
      <c r="H74" s="186"/>
      <c r="I74" s="187" t="s">
        <v>142</v>
      </c>
      <c r="J74" s="188">
        <f>+J19+J37+J43+J51+J58+J63+J71</f>
        <v>27344852312.400677</v>
      </c>
      <c r="K74" s="189">
        <f>SUM(J74:J74)</f>
        <v>27344852312.400677</v>
      </c>
      <c r="L74" s="99"/>
    </row>
    <row r="75" spans="2:13" ht="3.75" customHeight="1" thickBot="1"/>
    <row r="76" spans="2:13" ht="29.25" customHeight="1" thickBot="1">
      <c r="B76" s="324" t="s">
        <v>143</v>
      </c>
      <c r="C76" s="327" t="s">
        <v>144</v>
      </c>
      <c r="D76" s="190"/>
      <c r="E76" s="330" t="s">
        <v>145</v>
      </c>
      <c r="F76" s="331"/>
      <c r="G76" s="332"/>
      <c r="I76" s="191"/>
      <c r="J76" s="192">
        <f>+J80+J81</f>
        <v>861.02121239803921</v>
      </c>
      <c r="K76" s="193">
        <f>SUM(J76:J76)</f>
        <v>861.02121239803921</v>
      </c>
    </row>
    <row r="77" spans="2:13" ht="43.5" customHeight="1" outlineLevel="1" thickTop="1">
      <c r="B77" s="325"/>
      <c r="C77" s="328"/>
      <c r="D77" s="194"/>
      <c r="E77" s="390" t="s">
        <v>186</v>
      </c>
      <c r="F77" s="391"/>
      <c r="G77" s="195"/>
      <c r="I77" s="122"/>
      <c r="J77" s="196"/>
      <c r="K77" s="197"/>
    </row>
    <row r="78" spans="2:13" ht="41.25" customHeight="1" outlineLevel="1">
      <c r="B78" s="325"/>
      <c r="C78" s="328"/>
      <c r="D78" s="194"/>
      <c r="E78" s="390" t="s">
        <v>187</v>
      </c>
      <c r="F78" s="391"/>
      <c r="G78" s="195"/>
      <c r="I78" s="122"/>
      <c r="J78" s="196"/>
      <c r="K78" s="197"/>
    </row>
    <row r="79" spans="2:13" ht="30.75" customHeight="1" outlineLevel="1">
      <c r="B79" s="325"/>
      <c r="C79" s="328"/>
      <c r="D79" s="194"/>
      <c r="E79" s="390" t="s">
        <v>188</v>
      </c>
      <c r="F79" s="391"/>
      <c r="G79" s="195"/>
      <c r="I79" s="122"/>
      <c r="J79" s="196"/>
      <c r="K79" s="197"/>
    </row>
    <row r="80" spans="2:13" ht="15" customHeight="1" outlineLevel="1">
      <c r="B80" s="325"/>
      <c r="C80" s="328"/>
      <c r="D80" s="194"/>
      <c r="E80" s="408" t="s">
        <v>146</v>
      </c>
      <c r="F80" s="409"/>
      <c r="G80" s="195">
        <v>85</v>
      </c>
      <c r="I80" s="198"/>
      <c r="J80" s="196">
        <f>+'Área Útil'!D25</f>
        <v>633.10253936470588</v>
      </c>
      <c r="K80" s="197">
        <f>SUM(J80:J80)</f>
        <v>633.10253936470588</v>
      </c>
    </row>
    <row r="81" spans="2:11" ht="15" customHeight="1" outlineLevel="1">
      <c r="B81" s="325"/>
      <c r="C81" s="328"/>
      <c r="D81" s="194"/>
      <c r="E81" s="408" t="s">
        <v>147</v>
      </c>
      <c r="F81" s="409"/>
      <c r="G81" s="195">
        <v>60</v>
      </c>
      <c r="I81" s="198"/>
      <c r="J81" s="196">
        <f>+'Área Útil'!D40</f>
        <v>227.91867303333331</v>
      </c>
      <c r="K81" s="197">
        <f>SUM(J81:J81)</f>
        <v>227.91867303333331</v>
      </c>
    </row>
    <row r="82" spans="2:11" ht="38.25" customHeight="1" outlineLevel="1">
      <c r="B82" s="325"/>
      <c r="C82" s="328"/>
      <c r="D82" s="194"/>
      <c r="E82" s="390" t="s">
        <v>184</v>
      </c>
      <c r="F82" s="391"/>
      <c r="G82" s="195">
        <v>24.33</v>
      </c>
      <c r="I82" s="122"/>
      <c r="J82" s="241">
        <f>+'Área Útil'!D27+'Área Útil'!D42+'Área Útil'!D55+'Área Útil'!D68+'Área Útil'!D81</f>
        <v>884.01761520320576</v>
      </c>
      <c r="K82" s="197">
        <f>SUM(J82:J82)</f>
        <v>884.01761520320576</v>
      </c>
    </row>
    <row r="83" spans="2:11" ht="39" customHeight="1" outlineLevel="1" thickBot="1">
      <c r="B83" s="325"/>
      <c r="C83" s="329"/>
      <c r="D83" s="194"/>
      <c r="E83" s="345" t="s">
        <v>185</v>
      </c>
      <c r="F83" s="346"/>
      <c r="G83" s="199">
        <v>24.33</v>
      </c>
      <c r="I83" s="200"/>
      <c r="J83" s="202">
        <f>+'Área Útil'!D28+'Área Útil'!D43+'Área Útil'!D56+'Área Útil'!D69+'Área Útil'!D82</f>
        <v>664.89962095257079</v>
      </c>
      <c r="K83" s="202">
        <f>SUM(J83:J83)</f>
        <v>664.89962095257079</v>
      </c>
    </row>
    <row r="84" spans="2:11" ht="4.5" customHeight="1" thickBot="1">
      <c r="B84" s="325"/>
      <c r="C84" s="203"/>
      <c r="D84" s="203"/>
      <c r="E84" s="203"/>
    </row>
    <row r="85" spans="2:11" ht="29.25" customHeight="1" thickBot="1">
      <c r="B85" s="325"/>
      <c r="C85" s="333" t="s">
        <v>148</v>
      </c>
      <c r="D85" s="203"/>
      <c r="E85" s="330" t="s">
        <v>149</v>
      </c>
      <c r="F85" s="331"/>
      <c r="G85" s="332"/>
      <c r="I85" s="191"/>
      <c r="J85" s="204">
        <f>SUM(J86:J92)</f>
        <v>156008.85413811894</v>
      </c>
      <c r="K85" s="205">
        <f>SUM(J85:J85)</f>
        <v>156008.85413811894</v>
      </c>
    </row>
    <row r="86" spans="2:11" ht="42.75" customHeight="1" outlineLevel="1" thickTop="1">
      <c r="B86" s="325"/>
      <c r="C86" s="334"/>
      <c r="D86" s="194"/>
      <c r="E86" s="390" t="s">
        <v>186</v>
      </c>
      <c r="F86" s="391"/>
      <c r="G86" s="195"/>
      <c r="I86" s="122"/>
      <c r="J86" s="196">
        <f>+'Área Útil'!C47</f>
        <v>14574.4738</v>
      </c>
      <c r="K86" s="206">
        <f>SUM(J86:J86)</f>
        <v>14574.4738</v>
      </c>
    </row>
    <row r="87" spans="2:11" ht="45" customHeight="1" outlineLevel="1">
      <c r="B87" s="325"/>
      <c r="C87" s="334"/>
      <c r="D87" s="194"/>
      <c r="E87" s="390" t="s">
        <v>187</v>
      </c>
      <c r="F87" s="391"/>
      <c r="G87" s="195"/>
      <c r="I87" s="122"/>
      <c r="J87" s="196">
        <f>+'Área Útil'!C60</f>
        <v>14989.6214</v>
      </c>
      <c r="K87" s="206">
        <f>SUM(J87:J87)</f>
        <v>14989.6214</v>
      </c>
    </row>
    <row r="88" spans="2:11" ht="30" customHeight="1" outlineLevel="1">
      <c r="B88" s="325"/>
      <c r="C88" s="334"/>
      <c r="D88" s="194"/>
      <c r="E88" s="390" t="s">
        <v>188</v>
      </c>
      <c r="F88" s="391"/>
      <c r="G88" s="195"/>
      <c r="I88" s="122"/>
      <c r="J88" s="196">
        <f>+'Área Útil'!C73</f>
        <v>11530.478000000001</v>
      </c>
      <c r="K88" s="206">
        <f>SUM(J88:J88)</f>
        <v>11530.478000000001</v>
      </c>
    </row>
    <row r="89" spans="2:11" ht="15" customHeight="1" outlineLevel="1">
      <c r="B89" s="325"/>
      <c r="C89" s="334"/>
      <c r="D89" s="194"/>
      <c r="E89" s="408" t="s">
        <v>146</v>
      </c>
      <c r="F89" s="409"/>
      <c r="G89" s="195">
        <v>85</v>
      </c>
      <c r="I89" s="198"/>
      <c r="J89" s="196">
        <f>+'Área Útil'!C17</f>
        <v>61854.845800000003</v>
      </c>
      <c r="K89" s="206">
        <f>SUM(J89:J89)</f>
        <v>61854.845800000003</v>
      </c>
    </row>
    <row r="90" spans="2:11" ht="15" customHeight="1" outlineLevel="1">
      <c r="B90" s="325"/>
      <c r="C90" s="334"/>
      <c r="D90" s="194"/>
      <c r="E90" s="408" t="s">
        <v>147</v>
      </c>
      <c r="F90" s="409"/>
      <c r="G90" s="195">
        <v>60</v>
      </c>
      <c r="I90" s="198"/>
      <c r="J90" s="196">
        <f>+'Área Útil'!C32</f>
        <v>15365.3038</v>
      </c>
      <c r="K90" s="206">
        <f>SUM(J90:J90)</f>
        <v>15365.3038</v>
      </c>
    </row>
    <row r="91" spans="2:11" ht="39.75" customHeight="1" outlineLevel="1">
      <c r="B91" s="325"/>
      <c r="C91" s="334"/>
      <c r="D91" s="194"/>
      <c r="E91" s="390" t="s">
        <v>184</v>
      </c>
      <c r="F91" s="391"/>
      <c r="G91" s="195">
        <v>24.33</v>
      </c>
      <c r="I91" s="122"/>
      <c r="J91" s="197">
        <f>+'Área Útil'!C29+'Área Útil'!C57+'Área Útil'!C70+'Área Útil'!C83</f>
        <v>37694.131338118954</v>
      </c>
      <c r="K91" s="206">
        <f>SUM(J91:J91)</f>
        <v>37694.131338118954</v>
      </c>
    </row>
    <row r="92" spans="2:11" ht="38.25" customHeight="1" outlineLevel="1" thickBot="1">
      <c r="B92" s="325"/>
      <c r="C92" s="335"/>
      <c r="D92" s="194"/>
      <c r="E92" s="345" t="s">
        <v>185</v>
      </c>
      <c r="F92" s="346"/>
      <c r="G92" s="199">
        <v>24.33</v>
      </c>
      <c r="I92" s="200"/>
      <c r="J92" s="201"/>
      <c r="K92" s="207"/>
    </row>
    <row r="93" spans="2:11" ht="3.75" customHeight="1" thickBot="1">
      <c r="B93" s="325"/>
      <c r="C93" s="203"/>
      <c r="D93" s="203"/>
      <c r="E93" s="203"/>
    </row>
    <row r="94" spans="2:11" ht="27" customHeight="1" thickBot="1">
      <c r="B94" s="325"/>
      <c r="C94" s="336" t="s">
        <v>150</v>
      </c>
      <c r="D94" s="208"/>
      <c r="E94" s="330" t="s">
        <v>151</v>
      </c>
      <c r="F94" s="331"/>
      <c r="G94" s="332"/>
      <c r="I94" s="209"/>
      <c r="J94" s="204">
        <f>SUM(J95:J101)</f>
        <v>137791.41249850337</v>
      </c>
      <c r="K94" s="205">
        <f>SUM(J94:J94)</f>
        <v>137791.41249850337</v>
      </c>
    </row>
    <row r="95" spans="2:11" ht="45" customHeight="1" outlineLevel="1" thickTop="1">
      <c r="B95" s="325"/>
      <c r="C95" s="337"/>
      <c r="D95" s="194"/>
      <c r="E95" s="390" t="s">
        <v>186</v>
      </c>
      <c r="F95" s="391"/>
      <c r="G95" s="195"/>
      <c r="I95" s="210"/>
      <c r="J95" s="211">
        <f>+'Área Útil'!C53</f>
        <v>9844.7258648333336</v>
      </c>
      <c r="K95" s="206">
        <f>SUM(J95:J95)</f>
        <v>9844.7258648333336</v>
      </c>
    </row>
    <row r="96" spans="2:11" ht="39" customHeight="1" outlineLevel="1">
      <c r="B96" s="325"/>
      <c r="C96" s="337"/>
      <c r="D96" s="194"/>
      <c r="E96" s="390" t="s">
        <v>187</v>
      </c>
      <c r="F96" s="391"/>
      <c r="G96" s="195"/>
      <c r="I96" s="210"/>
      <c r="J96" s="211">
        <f>+'Área Útil'!C66</f>
        <v>11242.216049999999</v>
      </c>
      <c r="K96" s="206">
        <f>SUM(J96:J96)</f>
        <v>11242.216049999999</v>
      </c>
    </row>
    <row r="97" spans="2:11" ht="30.75" customHeight="1" outlineLevel="1">
      <c r="B97" s="325"/>
      <c r="C97" s="337"/>
      <c r="D97" s="194"/>
      <c r="E97" s="390" t="s">
        <v>188</v>
      </c>
      <c r="F97" s="391"/>
      <c r="G97" s="195"/>
      <c r="I97" s="210"/>
      <c r="J97" s="211">
        <f>+J88</f>
        <v>11530.478000000001</v>
      </c>
      <c r="K97" s="206">
        <f>SUM(J97:J97)</f>
        <v>11530.478000000001</v>
      </c>
    </row>
    <row r="98" spans="2:11" ht="15" customHeight="1" outlineLevel="1">
      <c r="B98" s="325"/>
      <c r="C98" s="337"/>
      <c r="D98" s="194"/>
      <c r="E98" s="408" t="s">
        <v>146</v>
      </c>
      <c r="F98" s="409"/>
      <c r="G98" s="195">
        <v>85</v>
      </c>
      <c r="I98" s="212"/>
      <c r="J98" s="211">
        <f>+'Área Útil'!C23</f>
        <v>53813.715845999999</v>
      </c>
      <c r="K98" s="206">
        <f>SUM(J98:J98)</f>
        <v>53813.715845999999</v>
      </c>
    </row>
    <row r="99" spans="2:11" ht="15" customHeight="1" outlineLevel="1">
      <c r="B99" s="325"/>
      <c r="C99" s="337"/>
      <c r="D99" s="194"/>
      <c r="E99" s="408" t="s">
        <v>147</v>
      </c>
      <c r="F99" s="409"/>
      <c r="G99" s="195">
        <v>60</v>
      </c>
      <c r="I99" s="212"/>
      <c r="J99" s="211">
        <f>+'Área Útil'!C38</f>
        <v>13675.120381999999</v>
      </c>
      <c r="K99" s="206">
        <f>SUM(J99:J99)</f>
        <v>13675.120381999999</v>
      </c>
    </row>
    <row r="100" spans="2:11" ht="41.25" customHeight="1" outlineLevel="1">
      <c r="B100" s="325"/>
      <c r="C100" s="337"/>
      <c r="D100" s="194"/>
      <c r="E100" s="390" t="s">
        <v>184</v>
      </c>
      <c r="F100" s="391"/>
      <c r="G100" s="195">
        <v>24.33</v>
      </c>
      <c r="I100" s="210"/>
      <c r="J100" s="392">
        <f>+('Área Útil'!D27+'Área Útil'!D42+'Área Útil'!D55+'Área Útil'!D68+'Área Útil'!D81)*24.33</f>
        <v>21508.148577893993</v>
      </c>
      <c r="K100" s="206">
        <f>SUM(J100:J100)</f>
        <v>21508.148577893993</v>
      </c>
    </row>
    <row r="101" spans="2:11" ht="42" customHeight="1" outlineLevel="1" thickBot="1">
      <c r="B101" s="326"/>
      <c r="C101" s="337"/>
      <c r="D101" s="194"/>
      <c r="E101" s="345" t="s">
        <v>185</v>
      </c>
      <c r="F101" s="346"/>
      <c r="G101" s="199">
        <v>24.33</v>
      </c>
      <c r="I101" s="213"/>
      <c r="J101" s="393">
        <f>+('Área Útil'!D28+'Área Útil'!D43+'Área Útil'!D56+'Área Útil'!D69+'Área Útil'!D82)*24.33</f>
        <v>16177.007777776045</v>
      </c>
      <c r="K101" s="207"/>
    </row>
    <row r="102" spans="2:11" ht="5.25" customHeight="1" thickBot="1"/>
    <row r="103" spans="2:11" ht="39" customHeight="1" outlineLevel="1">
      <c r="B103" s="324" t="s">
        <v>152</v>
      </c>
      <c r="C103" s="338" t="s">
        <v>153</v>
      </c>
      <c r="D103" s="194"/>
      <c r="E103" s="342" t="s">
        <v>186</v>
      </c>
      <c r="F103" s="343"/>
      <c r="G103" s="214"/>
      <c r="I103" s="215"/>
      <c r="J103" s="216">
        <v>1400000</v>
      </c>
      <c r="K103" s="216"/>
    </row>
    <row r="104" spans="2:11" ht="40.5" customHeight="1" outlineLevel="1">
      <c r="B104" s="325"/>
      <c r="C104" s="339"/>
      <c r="D104" s="194"/>
      <c r="E104" s="390" t="s">
        <v>187</v>
      </c>
      <c r="F104" s="410"/>
      <c r="G104" s="195"/>
      <c r="I104" s="210"/>
      <c r="J104" s="217">
        <v>1515000</v>
      </c>
      <c r="K104" s="217"/>
    </row>
    <row r="105" spans="2:11" ht="29.25" customHeight="1" outlineLevel="1">
      <c r="B105" s="325"/>
      <c r="C105" s="339"/>
      <c r="D105" s="194"/>
      <c r="E105" s="390" t="s">
        <v>188</v>
      </c>
      <c r="F105" s="410"/>
      <c r="G105" s="195"/>
      <c r="I105" s="210"/>
      <c r="J105" s="217">
        <v>2190000</v>
      </c>
      <c r="K105" s="217"/>
    </row>
    <row r="106" spans="2:11" ht="15" customHeight="1" outlineLevel="1">
      <c r="B106" s="325"/>
      <c r="C106" s="339"/>
      <c r="D106" s="194"/>
      <c r="E106" s="408" t="s">
        <v>146</v>
      </c>
      <c r="F106" s="411"/>
      <c r="G106" s="195">
        <v>85</v>
      </c>
      <c r="I106" s="212"/>
      <c r="J106" s="217">
        <v>1950000</v>
      </c>
      <c r="K106" s="217"/>
    </row>
    <row r="107" spans="2:11" ht="15" customHeight="1" outlineLevel="1">
      <c r="B107" s="325"/>
      <c r="C107" s="339"/>
      <c r="D107" s="194"/>
      <c r="E107" s="408" t="s">
        <v>147</v>
      </c>
      <c r="F107" s="411"/>
      <c r="G107" s="195">
        <v>60</v>
      </c>
      <c r="I107" s="212"/>
      <c r="J107" s="217">
        <v>1290000</v>
      </c>
      <c r="K107" s="217"/>
    </row>
    <row r="108" spans="2:11" ht="38.25" customHeight="1" outlineLevel="1">
      <c r="B108" s="325"/>
      <c r="C108" s="339"/>
      <c r="D108" s="194"/>
      <c r="E108" s="390" t="s">
        <v>184</v>
      </c>
      <c r="F108" s="410"/>
      <c r="G108" s="195">
        <v>24.33</v>
      </c>
      <c r="I108" s="210"/>
      <c r="J108" s="217">
        <v>1550000</v>
      </c>
      <c r="K108" s="217"/>
    </row>
    <row r="109" spans="2:11" ht="39.75" customHeight="1" outlineLevel="1" thickBot="1">
      <c r="B109" s="325"/>
      <c r="C109" s="339"/>
      <c r="D109" s="194"/>
      <c r="E109" s="345" t="s">
        <v>185</v>
      </c>
      <c r="F109" s="346"/>
      <c r="G109" s="199">
        <v>24.33</v>
      </c>
      <c r="I109" s="213"/>
      <c r="J109" s="217"/>
      <c r="K109" s="218"/>
    </row>
    <row r="110" spans="2:11" ht="36.75" customHeight="1" thickBot="1">
      <c r="B110" s="325"/>
      <c r="C110" s="340" t="s">
        <v>154</v>
      </c>
      <c r="E110" s="342" t="s">
        <v>155</v>
      </c>
      <c r="F110" s="343"/>
      <c r="G110" s="344"/>
      <c r="I110" s="219" t="s">
        <v>140</v>
      </c>
      <c r="J110" s="220" t="str">
        <f>+J8</f>
        <v>MANZ. 1</v>
      </c>
      <c r="K110" s="219"/>
    </row>
    <row r="111" spans="2:11" ht="24" customHeight="1" thickBot="1">
      <c r="B111" s="325"/>
      <c r="C111" s="341"/>
      <c r="E111" s="345"/>
      <c r="F111" s="346"/>
      <c r="G111" s="347"/>
      <c r="H111" s="186"/>
      <c r="I111" s="63" t="s">
        <v>156</v>
      </c>
      <c r="J111" s="221">
        <f>+$I$54</f>
        <v>0.21</v>
      </c>
      <c r="K111" s="222"/>
    </row>
    <row r="112" spans="2:11" ht="27.75" customHeight="1" thickBot="1">
      <c r="B112" s="325"/>
      <c r="C112" s="338" t="s">
        <v>157</v>
      </c>
      <c r="E112" s="348" t="s">
        <v>158</v>
      </c>
      <c r="F112" s="349"/>
      <c r="G112" s="350"/>
      <c r="H112" s="186"/>
      <c r="I112" s="223"/>
      <c r="J112" s="224">
        <f>SUM(J113:J119)</f>
        <v>267229381347.08438</v>
      </c>
      <c r="K112" s="225">
        <f>SUM(J112:J112)</f>
        <v>267229381347.08438</v>
      </c>
    </row>
    <row r="113" spans="2:13" ht="44.25" customHeight="1" outlineLevel="1" thickTop="1">
      <c r="B113" s="325"/>
      <c r="C113" s="339"/>
      <c r="D113" s="194"/>
      <c r="E113" s="390" t="s">
        <v>186</v>
      </c>
      <c r="F113" s="391"/>
      <c r="G113" s="195"/>
      <c r="I113" s="210"/>
      <c r="J113" s="217">
        <f>+J103*J86</f>
        <v>20404263320</v>
      </c>
      <c r="K113" s="227">
        <f>SUM(J113:J113)</f>
        <v>20404263320</v>
      </c>
      <c r="M113" s="228"/>
    </row>
    <row r="114" spans="2:13" ht="44.25" customHeight="1" outlineLevel="1">
      <c r="B114" s="325"/>
      <c r="C114" s="339"/>
      <c r="D114" s="194"/>
      <c r="E114" s="390" t="s">
        <v>187</v>
      </c>
      <c r="F114" s="391"/>
      <c r="G114" s="195"/>
      <c r="I114" s="210"/>
      <c r="J114" s="217">
        <f>+J104*J87</f>
        <v>22709276421</v>
      </c>
      <c r="K114" s="227">
        <f>SUM(J114:J114)</f>
        <v>22709276421</v>
      </c>
    </row>
    <row r="115" spans="2:13" ht="33" customHeight="1" outlineLevel="1">
      <c r="B115" s="325"/>
      <c r="C115" s="339"/>
      <c r="D115" s="194"/>
      <c r="E115" s="390" t="s">
        <v>188</v>
      </c>
      <c r="F115" s="391"/>
      <c r="G115" s="195"/>
      <c r="I115" s="210"/>
      <c r="J115" s="217">
        <f>+J105*J88</f>
        <v>25251746820.000004</v>
      </c>
      <c r="K115" s="227">
        <f>SUM(J115:J115)</f>
        <v>25251746820.000004</v>
      </c>
    </row>
    <row r="116" spans="2:13" ht="15" customHeight="1" outlineLevel="1">
      <c r="B116" s="325"/>
      <c r="C116" s="339"/>
      <c r="D116" s="194"/>
      <c r="E116" s="408" t="s">
        <v>146</v>
      </c>
      <c r="F116" s="409"/>
      <c r="G116" s="195">
        <v>85</v>
      </c>
      <c r="I116" s="210"/>
      <c r="J116" s="217">
        <f>+J106*J89</f>
        <v>120616949310</v>
      </c>
      <c r="K116" s="227">
        <f>SUM(J116:J116)</f>
        <v>120616949310</v>
      </c>
    </row>
    <row r="117" spans="2:13" ht="15" customHeight="1" outlineLevel="1">
      <c r="B117" s="325"/>
      <c r="C117" s="339"/>
      <c r="D117" s="194"/>
      <c r="E117" s="408" t="s">
        <v>147</v>
      </c>
      <c r="F117" s="409"/>
      <c r="G117" s="195">
        <v>60</v>
      </c>
      <c r="I117" s="212"/>
      <c r="J117" s="217">
        <f>+J107*J90</f>
        <v>19821241902</v>
      </c>
      <c r="K117" s="227">
        <f>SUM(J117:J117)</f>
        <v>19821241902</v>
      </c>
    </row>
    <row r="118" spans="2:13" ht="36.75" customHeight="1" outlineLevel="1">
      <c r="B118" s="325"/>
      <c r="C118" s="339"/>
      <c r="D118" s="194"/>
      <c r="E118" s="390" t="s">
        <v>184</v>
      </c>
      <c r="F118" s="391"/>
      <c r="G118" s="195">
        <v>24.33</v>
      </c>
      <c r="I118" s="212"/>
      <c r="J118" s="217">
        <f>+J108*J91</f>
        <v>58425903574.084381</v>
      </c>
      <c r="K118" s="227">
        <f>SUM(J118:J118)</f>
        <v>58425903574.084381</v>
      </c>
    </row>
    <row r="119" spans="2:13" ht="39.75" customHeight="1" outlineLevel="1" thickBot="1">
      <c r="B119" s="325"/>
      <c r="C119" s="339"/>
      <c r="D119" s="194"/>
      <c r="E119" s="345" t="s">
        <v>185</v>
      </c>
      <c r="F119" s="346"/>
      <c r="G119" s="199">
        <v>24.33</v>
      </c>
      <c r="I119" s="210"/>
      <c r="J119" s="217">
        <f t="shared" ref="J119" si="1">+J109*J92</f>
        <v>0</v>
      </c>
      <c r="K119" s="227">
        <f>SUM(J119:J119)</f>
        <v>0</v>
      </c>
    </row>
    <row r="120" spans="2:13" ht="24" customHeight="1" thickBot="1">
      <c r="B120" s="325"/>
      <c r="C120" s="338" t="s">
        <v>159</v>
      </c>
      <c r="D120" s="194"/>
      <c r="E120" s="348" t="s">
        <v>160</v>
      </c>
      <c r="F120" s="349"/>
      <c r="G120" s="350"/>
      <c r="I120" s="229"/>
      <c r="J120" s="230">
        <f>SUM(J121:J127)</f>
        <v>56118170082.887726</v>
      </c>
      <c r="K120" s="231">
        <f>SUM(J120:J120)</f>
        <v>56118170082.887726</v>
      </c>
    </row>
    <row r="121" spans="2:13" ht="43.5" customHeight="1" outlineLevel="1" thickTop="1">
      <c r="B121" s="325"/>
      <c r="C121" s="339"/>
      <c r="D121" s="194"/>
      <c r="E121" s="390" t="s">
        <v>186</v>
      </c>
      <c r="F121" s="391"/>
      <c r="G121" s="195"/>
      <c r="I121" s="210"/>
      <c r="J121" s="226">
        <f>+J113*$J$111</f>
        <v>4284895297.1999998</v>
      </c>
      <c r="K121" s="227">
        <f>SUM(J121:J121)</f>
        <v>4284895297.1999998</v>
      </c>
    </row>
    <row r="122" spans="2:13" ht="40.5" customHeight="1" outlineLevel="1">
      <c r="B122" s="325"/>
      <c r="C122" s="339"/>
      <c r="D122" s="194"/>
      <c r="E122" s="390" t="s">
        <v>187</v>
      </c>
      <c r="F122" s="391"/>
      <c r="G122" s="195"/>
      <c r="I122" s="210"/>
      <c r="J122" s="226">
        <f>+J114*$J$111</f>
        <v>4768948048.4099998</v>
      </c>
      <c r="K122" s="227">
        <f>SUM(J122:J122)</f>
        <v>4768948048.4099998</v>
      </c>
    </row>
    <row r="123" spans="2:13" ht="30.75" customHeight="1" outlineLevel="1">
      <c r="B123" s="325"/>
      <c r="C123" s="339"/>
      <c r="D123" s="194"/>
      <c r="E123" s="390" t="s">
        <v>188</v>
      </c>
      <c r="F123" s="391"/>
      <c r="G123" s="195"/>
      <c r="I123" s="210"/>
      <c r="J123" s="226">
        <f>+J115*$J$111</f>
        <v>5302866832.2000008</v>
      </c>
      <c r="K123" s="227">
        <f>SUM(J123:J123)</f>
        <v>5302866832.2000008</v>
      </c>
    </row>
    <row r="124" spans="2:13" ht="15" customHeight="1" outlineLevel="1">
      <c r="B124" s="325"/>
      <c r="C124" s="339"/>
      <c r="D124" s="194"/>
      <c r="E124" s="408" t="s">
        <v>146</v>
      </c>
      <c r="F124" s="409"/>
      <c r="G124" s="195">
        <v>85</v>
      </c>
      <c r="I124" s="210"/>
      <c r="J124" s="226">
        <f>+J116*$J$111</f>
        <v>25329559355.099998</v>
      </c>
      <c r="K124" s="227">
        <f>SUM(J124:J124)</f>
        <v>25329559355.099998</v>
      </c>
    </row>
    <row r="125" spans="2:13" ht="15" customHeight="1" outlineLevel="1">
      <c r="B125" s="325"/>
      <c r="C125" s="339"/>
      <c r="D125" s="194"/>
      <c r="E125" s="408" t="s">
        <v>147</v>
      </c>
      <c r="F125" s="409"/>
      <c r="G125" s="195">
        <v>60</v>
      </c>
      <c r="I125" s="212"/>
      <c r="J125" s="226">
        <f>+J117*$J$111</f>
        <v>4162460799.4200001</v>
      </c>
      <c r="K125" s="227">
        <f>SUM(J125:J125)</f>
        <v>4162460799.4200001</v>
      </c>
    </row>
    <row r="126" spans="2:13" ht="36.75" customHeight="1" outlineLevel="1">
      <c r="B126" s="325"/>
      <c r="C126" s="339"/>
      <c r="D126" s="194"/>
      <c r="E126" s="390" t="s">
        <v>184</v>
      </c>
      <c r="F126" s="391"/>
      <c r="G126" s="195">
        <v>24.33</v>
      </c>
      <c r="I126" s="212"/>
      <c r="J126" s="226">
        <f>+J118*$J$111</f>
        <v>12269439750.55772</v>
      </c>
      <c r="K126" s="227">
        <f>SUM(J126:J126)</f>
        <v>12269439750.55772</v>
      </c>
    </row>
    <row r="127" spans="2:13" ht="41.25" customHeight="1" outlineLevel="1" thickBot="1">
      <c r="B127" s="325"/>
      <c r="C127" s="339"/>
      <c r="D127" s="194"/>
      <c r="E127" s="345" t="s">
        <v>185</v>
      </c>
      <c r="F127" s="346"/>
      <c r="G127" s="199">
        <v>24.33</v>
      </c>
      <c r="I127" s="210"/>
      <c r="J127" s="226">
        <f>+J119*$J$111</f>
        <v>0</v>
      </c>
      <c r="K127" s="227">
        <f>SUM(J127:J127)</f>
        <v>0</v>
      </c>
    </row>
    <row r="128" spans="2:13" ht="21.75" customHeight="1" thickBot="1">
      <c r="B128" s="325"/>
      <c r="C128" s="338" t="s">
        <v>161</v>
      </c>
      <c r="D128" s="194"/>
      <c r="E128" s="348" t="s">
        <v>162</v>
      </c>
      <c r="F128" s="349"/>
      <c r="G128" s="350"/>
      <c r="I128" s="229"/>
      <c r="J128" s="230">
        <f>SUM(J129:J135)</f>
        <v>323347551429.97211</v>
      </c>
      <c r="K128" s="231">
        <f>SUM(J128:J128)</f>
        <v>323347551429.97211</v>
      </c>
    </row>
    <row r="129" spans="2:11" ht="40.5" customHeight="1" outlineLevel="1" thickTop="1">
      <c r="B129" s="325"/>
      <c r="C129" s="339"/>
      <c r="D129" s="194"/>
      <c r="E129" s="390" t="s">
        <v>186</v>
      </c>
      <c r="F129" s="391"/>
      <c r="G129" s="195"/>
      <c r="I129" s="210"/>
      <c r="J129" s="226">
        <f>+J113+J121</f>
        <v>24689158617.200001</v>
      </c>
      <c r="K129" s="227">
        <f>SUM(J129:J129)</f>
        <v>24689158617.200001</v>
      </c>
    </row>
    <row r="130" spans="2:11" ht="37.5" customHeight="1" outlineLevel="1">
      <c r="B130" s="325"/>
      <c r="C130" s="339"/>
      <c r="D130" s="194"/>
      <c r="E130" s="390" t="s">
        <v>187</v>
      </c>
      <c r="F130" s="391"/>
      <c r="G130" s="195"/>
      <c r="I130" s="210"/>
      <c r="J130" s="226">
        <f t="shared" ref="J130:J135" si="2">+J114+J122</f>
        <v>27478224469.41</v>
      </c>
      <c r="K130" s="227">
        <f>SUM(J130:J130)</f>
        <v>27478224469.41</v>
      </c>
    </row>
    <row r="131" spans="2:11" ht="28.5" customHeight="1" outlineLevel="1">
      <c r="B131" s="325"/>
      <c r="C131" s="339"/>
      <c r="D131" s="194"/>
      <c r="E131" s="390" t="s">
        <v>188</v>
      </c>
      <c r="F131" s="391"/>
      <c r="G131" s="195"/>
      <c r="I131" s="210"/>
      <c r="J131" s="226">
        <f t="shared" si="2"/>
        <v>30554613652.200005</v>
      </c>
      <c r="K131" s="227">
        <f>SUM(J131:J131)</f>
        <v>30554613652.200005</v>
      </c>
    </row>
    <row r="132" spans="2:11" ht="15" customHeight="1" outlineLevel="1">
      <c r="B132" s="325"/>
      <c r="C132" s="339"/>
      <c r="D132" s="194"/>
      <c r="E132" s="408" t="s">
        <v>146</v>
      </c>
      <c r="F132" s="409"/>
      <c r="G132" s="195">
        <v>85</v>
      </c>
      <c r="I132" s="210"/>
      <c r="J132" s="226">
        <f t="shared" si="2"/>
        <v>145946508665.10001</v>
      </c>
      <c r="K132" s="227">
        <f>SUM(J132:J132)</f>
        <v>145946508665.10001</v>
      </c>
    </row>
    <row r="133" spans="2:11" ht="15" customHeight="1" outlineLevel="1">
      <c r="B133" s="325"/>
      <c r="C133" s="339"/>
      <c r="D133" s="194"/>
      <c r="E133" s="408" t="s">
        <v>147</v>
      </c>
      <c r="F133" s="409"/>
      <c r="G133" s="195">
        <v>60</v>
      </c>
      <c r="I133" s="212"/>
      <c r="J133" s="226">
        <f t="shared" si="2"/>
        <v>23983702701.419998</v>
      </c>
      <c r="K133" s="227">
        <f>SUM(J133:J133)</f>
        <v>23983702701.419998</v>
      </c>
    </row>
    <row r="134" spans="2:11" ht="36" customHeight="1" outlineLevel="1">
      <c r="B134" s="325"/>
      <c r="C134" s="339"/>
      <c r="D134" s="194"/>
      <c r="E134" s="390" t="s">
        <v>184</v>
      </c>
      <c r="F134" s="391"/>
      <c r="G134" s="195">
        <v>24.33</v>
      </c>
      <c r="I134" s="212"/>
      <c r="J134" s="226">
        <f>+J118+J126</f>
        <v>70695343324.642105</v>
      </c>
      <c r="K134" s="227">
        <f>SUM(J134:J134)</f>
        <v>70695343324.642105</v>
      </c>
    </row>
    <row r="135" spans="2:11" ht="40.5" customHeight="1" outlineLevel="1" thickBot="1">
      <c r="B135" s="326"/>
      <c r="C135" s="389"/>
      <c r="D135" s="194"/>
      <c r="E135" s="345" t="s">
        <v>185</v>
      </c>
      <c r="F135" s="346"/>
      <c r="G135" s="199">
        <v>24.33</v>
      </c>
      <c r="I135" s="213"/>
      <c r="J135" s="232">
        <f t="shared" si="2"/>
        <v>0</v>
      </c>
      <c r="K135" s="233">
        <f>SUM(J135:J135)</f>
        <v>0</v>
      </c>
    </row>
    <row r="136" spans="2:11" ht="3.75" customHeight="1" thickBot="1">
      <c r="J136" s="99"/>
      <c r="K136" s="234"/>
    </row>
    <row r="137" spans="2:11" ht="42" customHeight="1">
      <c r="B137" s="386"/>
      <c r="C137" s="354" t="s">
        <v>176</v>
      </c>
      <c r="E137" s="357" t="s">
        <v>167</v>
      </c>
      <c r="F137" s="358"/>
      <c r="G137" s="359"/>
      <c r="I137" s="235"/>
      <c r="J137" s="216">
        <f>+(J103+J104+J105+J106+J107+J108)/6</f>
        <v>1649166.6666666667</v>
      </c>
      <c r="K137" s="236">
        <f>SUM(J137:J137)</f>
        <v>1649166.6666666667</v>
      </c>
    </row>
    <row r="138" spans="2:11" ht="42" customHeight="1" thickBot="1">
      <c r="B138" s="387"/>
      <c r="C138" s="356"/>
      <c r="E138" s="375" t="s">
        <v>168</v>
      </c>
      <c r="F138" s="376"/>
      <c r="G138" s="377"/>
      <c r="I138" s="378"/>
      <c r="J138" s="202">
        <f>+J85+G65</f>
        <v>159947.99983811894</v>
      </c>
      <c r="K138" s="388">
        <f>SUM(J138:J138)</f>
        <v>159947.99983811894</v>
      </c>
    </row>
    <row r="139" spans="2:11" ht="5.25" customHeight="1" thickBot="1">
      <c r="J139" s="99"/>
      <c r="K139" s="234"/>
    </row>
    <row r="140" spans="2:11" ht="42" customHeight="1">
      <c r="B140" s="351" t="s">
        <v>163</v>
      </c>
      <c r="C140" s="354" t="s">
        <v>164</v>
      </c>
      <c r="E140" s="357" t="s">
        <v>169</v>
      </c>
      <c r="F140" s="358"/>
      <c r="G140" s="359"/>
      <c r="I140" s="235"/>
      <c r="J140" s="216">
        <f>+J137*J138*6%</f>
        <v>15826854583.981869</v>
      </c>
      <c r="K140" s="236">
        <f>SUM(J140:J140)</f>
        <v>15826854583.981869</v>
      </c>
    </row>
    <row r="141" spans="2:11" ht="42" customHeight="1">
      <c r="B141" s="352"/>
      <c r="C141" s="355"/>
      <c r="E141" s="294" t="s">
        <v>170</v>
      </c>
      <c r="F141" s="295"/>
      <c r="G141" s="296"/>
      <c r="I141" s="237"/>
      <c r="J141" s="217">
        <f>+J140*155</f>
        <v>2453162460517.1895</v>
      </c>
      <c r="K141" s="227">
        <f>SUM(J141:J141)</f>
        <v>2453162460517.1895</v>
      </c>
    </row>
    <row r="142" spans="2:11" ht="42.75" customHeight="1" thickBot="1">
      <c r="B142" s="352"/>
      <c r="C142" s="355"/>
      <c r="E142" s="360" t="s">
        <v>165</v>
      </c>
      <c r="F142" s="361"/>
      <c r="G142" s="362"/>
      <c r="I142" s="238"/>
      <c r="J142" s="165">
        <f>+(J128+J70)*4%</f>
        <v>13460366516.516464</v>
      </c>
      <c r="K142" s="239">
        <f>SUM(J142:J142)</f>
        <v>13460366516.516464</v>
      </c>
    </row>
    <row r="143" spans="2:11" ht="37.5" customHeight="1" thickTop="1" thickBot="1">
      <c r="B143" s="353"/>
      <c r="C143" s="356"/>
      <c r="E143" s="363" t="s">
        <v>166</v>
      </c>
      <c r="F143" s="364"/>
      <c r="G143" s="365"/>
      <c r="I143" s="200"/>
      <c r="J143" s="218">
        <f>SUM(J140:J142)</f>
        <v>2482449681617.688</v>
      </c>
      <c r="K143" s="240">
        <f>SUM(K140:K142)</f>
        <v>2482449681617.688</v>
      </c>
    </row>
    <row r="144" spans="2:11" ht="15" customHeight="1">
      <c r="J144" s="99"/>
      <c r="K144" s="99"/>
    </row>
    <row r="145" spans="3:11">
      <c r="C145" s="366"/>
      <c r="E145" s="366"/>
      <c r="F145" s="366"/>
      <c r="G145" s="366"/>
      <c r="I145" s="366"/>
      <c r="K145" s="366"/>
    </row>
    <row r="146" spans="3:11">
      <c r="C146" s="366"/>
      <c r="E146" s="366"/>
      <c r="F146" s="366"/>
      <c r="G146" s="366"/>
      <c r="I146" s="366"/>
      <c r="K146" s="366"/>
    </row>
  </sheetData>
  <dataConsolidate/>
  <mergeCells count="117">
    <mergeCell ref="C145:C146"/>
    <mergeCell ref="I145:I146"/>
    <mergeCell ref="K145:K146"/>
    <mergeCell ref="E145:G145"/>
    <mergeCell ref="E146:G146"/>
    <mergeCell ref="E123:F123"/>
    <mergeCell ref="E124:F124"/>
    <mergeCell ref="E125:F125"/>
    <mergeCell ref="E135:F135"/>
    <mergeCell ref="B140:B143"/>
    <mergeCell ref="C140:C143"/>
    <mergeCell ref="E140:G140"/>
    <mergeCell ref="E141:G141"/>
    <mergeCell ref="E142:G142"/>
    <mergeCell ref="E143:G143"/>
    <mergeCell ref="E126:F126"/>
    <mergeCell ref="E127:F127"/>
    <mergeCell ref="C128:C135"/>
    <mergeCell ref="E128:G128"/>
    <mergeCell ref="E129:F129"/>
    <mergeCell ref="E130:F130"/>
    <mergeCell ref="E131:F131"/>
    <mergeCell ref="E132:F132"/>
    <mergeCell ref="E133:F133"/>
    <mergeCell ref="E134:F134"/>
    <mergeCell ref="E137:G137"/>
    <mergeCell ref="E138:G138"/>
    <mergeCell ref="B137:B138"/>
    <mergeCell ref="C137:C138"/>
    <mergeCell ref="B103:B135"/>
    <mergeCell ref="C103:C109"/>
    <mergeCell ref="E103:F103"/>
    <mergeCell ref="E104:F104"/>
    <mergeCell ref="E105:F105"/>
    <mergeCell ref="E106:F106"/>
    <mergeCell ref="E107:F107"/>
    <mergeCell ref="E108:F108"/>
    <mergeCell ref="E109:F109"/>
    <mergeCell ref="C110:C111"/>
    <mergeCell ref="E110:G111"/>
    <mergeCell ref="C112:C119"/>
    <mergeCell ref="E112:G112"/>
    <mergeCell ref="E113:F113"/>
    <mergeCell ref="E114:F114"/>
    <mergeCell ref="E115:F115"/>
    <mergeCell ref="E116:F116"/>
    <mergeCell ref="E117:F117"/>
    <mergeCell ref="E118:F118"/>
    <mergeCell ref="E119:F119"/>
    <mergeCell ref="C120:C127"/>
    <mergeCell ref="E120:G120"/>
    <mergeCell ref="E121:F121"/>
    <mergeCell ref="E122:F122"/>
    <mergeCell ref="C94:C101"/>
    <mergeCell ref="E94:G94"/>
    <mergeCell ref="E95:F95"/>
    <mergeCell ref="E96:F96"/>
    <mergeCell ref="E97:F97"/>
    <mergeCell ref="E98:F98"/>
    <mergeCell ref="E99:F99"/>
    <mergeCell ref="E100:F100"/>
    <mergeCell ref="E101:F101"/>
    <mergeCell ref="B60:B63"/>
    <mergeCell ref="E63:G63"/>
    <mergeCell ref="B65:B71"/>
    <mergeCell ref="E71:G71"/>
    <mergeCell ref="B73:G74"/>
    <mergeCell ref="B76:B101"/>
    <mergeCell ref="C76:C83"/>
    <mergeCell ref="E76:G76"/>
    <mergeCell ref="E77:F77"/>
    <mergeCell ref="E78:F78"/>
    <mergeCell ref="E79:F79"/>
    <mergeCell ref="E80:F80"/>
    <mergeCell ref="E81:F81"/>
    <mergeCell ref="E82:F82"/>
    <mergeCell ref="E83:F83"/>
    <mergeCell ref="C85:C92"/>
    <mergeCell ref="E85:G85"/>
    <mergeCell ref="E86:F86"/>
    <mergeCell ref="E87:F87"/>
    <mergeCell ref="E88:F88"/>
    <mergeCell ref="E89:F89"/>
    <mergeCell ref="E90:F90"/>
    <mergeCell ref="E91:F91"/>
    <mergeCell ref="E92:F92"/>
    <mergeCell ref="B53:B58"/>
    <mergeCell ref="E53:G53"/>
    <mergeCell ref="E54:G54"/>
    <mergeCell ref="E55:G55"/>
    <mergeCell ref="E56:G56"/>
    <mergeCell ref="E57:G57"/>
    <mergeCell ref="E58:G58"/>
    <mergeCell ref="B21:B37"/>
    <mergeCell ref="B39:B43"/>
    <mergeCell ref="B45:B51"/>
    <mergeCell ref="E45:G45"/>
    <mergeCell ref="E46:G46"/>
    <mergeCell ref="E47:G47"/>
    <mergeCell ref="E48:G48"/>
    <mergeCell ref="E49:G49"/>
    <mergeCell ref="E50:G50"/>
    <mergeCell ref="E51:G51"/>
    <mergeCell ref="F8:F9"/>
    <mergeCell ref="I8:I9"/>
    <mergeCell ref="J8:J9"/>
    <mergeCell ref="B10:B19"/>
    <mergeCell ref="B2:K2"/>
    <mergeCell ref="B3:C6"/>
    <mergeCell ref="E3:G6"/>
    <mergeCell ref="I3:K6"/>
    <mergeCell ref="B7:C9"/>
    <mergeCell ref="E7:F7"/>
    <mergeCell ref="G7:G9"/>
    <mergeCell ref="I7:J7"/>
    <mergeCell ref="K7:K9"/>
    <mergeCell ref="E8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89"/>
  <sheetViews>
    <sheetView topLeftCell="B28" workbookViewId="0">
      <selection activeCell="D96" sqref="D96"/>
    </sheetView>
  </sheetViews>
  <sheetFormatPr baseColWidth="10" defaultRowHeight="15"/>
  <cols>
    <col min="1" max="1" width="5.28515625" customWidth="1"/>
    <col min="2" max="2" width="43.42578125" customWidth="1"/>
    <col min="3" max="3" width="18.42578125" customWidth="1"/>
    <col min="4" max="4" width="18.7109375" customWidth="1"/>
    <col min="5" max="5" width="8.7109375" customWidth="1"/>
    <col min="7" max="7" width="48.7109375" customWidth="1"/>
  </cols>
  <sheetData>
    <row r="2" spans="2:7" ht="15.75" thickBot="1">
      <c r="B2" s="372" t="s">
        <v>10</v>
      </c>
      <c r="C2" s="372"/>
      <c r="D2" s="372"/>
      <c r="E2" s="372"/>
    </row>
    <row r="3" spans="2:7" ht="5.0999999999999996" customHeight="1" thickBot="1">
      <c r="B3" s="17"/>
      <c r="C3" s="17"/>
      <c r="D3" s="17"/>
      <c r="E3" s="17"/>
    </row>
    <row r="4" spans="2:7" ht="15.75" thickBot="1">
      <c r="B4" s="1"/>
      <c r="C4" s="2" t="s">
        <v>0</v>
      </c>
      <c r="D4" s="2" t="s">
        <v>8</v>
      </c>
      <c r="E4" s="3" t="s">
        <v>9</v>
      </c>
    </row>
    <row r="5" spans="2:7" ht="15.75" thickBot="1">
      <c r="B5" s="369" t="s">
        <v>10</v>
      </c>
      <c r="C5" s="370"/>
      <c r="D5" s="4">
        <f>'ÁREAS GENERALES'!C24</f>
        <v>11155.044599999999</v>
      </c>
      <c r="E5" s="5"/>
    </row>
    <row r="6" spans="2:7" ht="15.75" thickBot="1">
      <c r="B6" s="18" t="s">
        <v>11</v>
      </c>
      <c r="C6" s="19">
        <f>C17+C32+C47+C60+C73+D88</f>
        <v>122253.86850000001</v>
      </c>
      <c r="D6" s="19"/>
      <c r="E6" s="20"/>
      <c r="F6" s="6"/>
    </row>
    <row r="7" spans="2:7" ht="15.75" thickBot="1">
      <c r="B7" s="18" t="s">
        <v>23</v>
      </c>
      <c r="C7" s="19">
        <f>(C23+C38+C53+C66+C79+2909.7)/D5</f>
        <v>8.9635863641310181</v>
      </c>
      <c r="D7" s="19"/>
      <c r="E7" s="20"/>
    </row>
    <row r="8" spans="2:7" ht="15.75" thickBot="1">
      <c r="B8" s="18" t="s">
        <v>12</v>
      </c>
      <c r="C8" s="19">
        <v>7287.2368999999999</v>
      </c>
      <c r="D8" s="19"/>
      <c r="E8" s="20"/>
    </row>
    <row r="9" spans="2:7" ht="15.75" thickBot="1">
      <c r="B9" s="18" t="s">
        <v>24</v>
      </c>
      <c r="C9" s="19">
        <f>C8/D5</f>
        <v>0.65326828903938228</v>
      </c>
      <c r="D9" s="19"/>
      <c r="E9" s="20"/>
    </row>
    <row r="10" spans="2:7" ht="15.75" thickBot="1">
      <c r="B10" s="18" t="s">
        <v>13</v>
      </c>
      <c r="C10" s="21">
        <v>25</v>
      </c>
      <c r="D10" s="19"/>
      <c r="E10" s="20"/>
    </row>
    <row r="11" spans="2:7" ht="15.75" thickBot="1">
      <c r="B11" s="369" t="s">
        <v>29</v>
      </c>
      <c r="C11" s="370"/>
      <c r="D11" s="4"/>
      <c r="E11" s="5"/>
    </row>
    <row r="12" spans="2:7" ht="15.75" thickBot="1">
      <c r="B12" s="18" t="s">
        <v>30</v>
      </c>
      <c r="C12" s="21"/>
      <c r="D12" s="19">
        <f>(775.5718*22)+(773.9459*20)+(652.9445*18)+(2195.0434*15)</f>
        <v>77220.149600000004</v>
      </c>
      <c r="E12" s="43">
        <f>D12/C6</f>
        <v>0.63163767778849467</v>
      </c>
    </row>
    <row r="13" spans="2:7" ht="15.75" thickBot="1">
      <c r="B13" s="18" t="s">
        <v>31</v>
      </c>
      <c r="C13" s="21"/>
      <c r="D13" s="19">
        <f>(3939.1457*2)+(2195.0434*2)+(1153.0478*2)</f>
        <v>14574.4738</v>
      </c>
      <c r="E13" s="43">
        <f>D13/C6</f>
        <v>0.1192148271365335</v>
      </c>
    </row>
    <row r="14" spans="2:7" ht="15.75" thickBot="1">
      <c r="B14" s="18" t="s">
        <v>47</v>
      </c>
      <c r="C14" s="21"/>
      <c r="D14" s="19">
        <f>1153.0478*13</f>
        <v>14989.6214</v>
      </c>
      <c r="E14" s="43">
        <f>D14/C6</f>
        <v>0.12261061006834315</v>
      </c>
    </row>
    <row r="15" spans="2:7" ht="15.75" thickBot="1">
      <c r="B15" s="18" t="s">
        <v>48</v>
      </c>
      <c r="C15" s="21"/>
      <c r="D15" s="19">
        <f>1153.0478*10</f>
        <v>11530.478000000001</v>
      </c>
      <c r="E15" s="43">
        <f>D15/C6</f>
        <v>9.4315853898725502E-2</v>
      </c>
    </row>
    <row r="16" spans="2:7" ht="15.75" thickBot="1">
      <c r="B16" s="371" t="s">
        <v>67</v>
      </c>
      <c r="C16" s="371"/>
      <c r="D16" s="22"/>
      <c r="E16" s="23"/>
      <c r="G16" s="367" t="s">
        <v>81</v>
      </c>
    </row>
    <row r="17" spans="2:7" ht="15.75" thickBot="1">
      <c r="B17" s="24" t="s">
        <v>14</v>
      </c>
      <c r="C17" s="19">
        <f>D12-C32</f>
        <v>61854.845800000003</v>
      </c>
      <c r="D17" s="19"/>
      <c r="E17" s="20"/>
      <c r="G17" s="368"/>
    </row>
    <row r="18" spans="2:7" ht="15.75" thickBot="1">
      <c r="B18" s="24" t="s">
        <v>17</v>
      </c>
      <c r="C18" s="19">
        <f>C19</f>
        <v>8041.1299540000009</v>
      </c>
      <c r="D18" s="19"/>
      <c r="E18" s="20"/>
    </row>
    <row r="19" spans="2:7" ht="15.75" thickBot="1">
      <c r="B19" s="29" t="s">
        <v>18</v>
      </c>
      <c r="C19" s="30">
        <f>C17*E19</f>
        <v>8041.1299540000009</v>
      </c>
      <c r="D19" s="19"/>
      <c r="E19" s="31">
        <v>0.13</v>
      </c>
    </row>
    <row r="20" spans="2:7" ht="15.75" thickBot="1">
      <c r="B20" s="29" t="s">
        <v>36</v>
      </c>
      <c r="C20" s="30">
        <f>((C17-C19)/80)*10</f>
        <v>6726.714480749999</v>
      </c>
      <c r="D20" s="19"/>
      <c r="E20" s="32"/>
    </row>
    <row r="21" spans="2:7" ht="15.75" thickBot="1">
      <c r="B21" s="33" t="s">
        <v>19</v>
      </c>
      <c r="C21" s="30">
        <f>C20*E21</f>
        <v>2690.6857922999998</v>
      </c>
      <c r="D21" s="19"/>
      <c r="E21" s="31">
        <v>0.4</v>
      </c>
    </row>
    <row r="22" spans="2:7" ht="15.75" thickBot="1">
      <c r="B22" s="29" t="s">
        <v>20</v>
      </c>
      <c r="C22" s="30">
        <f>C20*E22</f>
        <v>1345.3428961499999</v>
      </c>
      <c r="D22" s="34"/>
      <c r="E22" s="35">
        <v>0.2</v>
      </c>
    </row>
    <row r="23" spans="2:7" ht="15.75" thickBot="1">
      <c r="B23" s="36" t="s">
        <v>21</v>
      </c>
      <c r="C23" s="37">
        <f>C17-C18</f>
        <v>53813.715845999999</v>
      </c>
      <c r="D23" s="34"/>
      <c r="E23" s="35">
        <f>C23/C17</f>
        <v>0.87</v>
      </c>
    </row>
    <row r="24" spans="2:7" ht="15.75" thickBot="1">
      <c r="B24" s="25" t="s">
        <v>68</v>
      </c>
      <c r="C24" s="38" t="s">
        <v>32</v>
      </c>
      <c r="D24" s="38" t="s">
        <v>22</v>
      </c>
      <c r="E24" s="26"/>
    </row>
    <row r="25" spans="2:7" ht="19.5" thickBot="1">
      <c r="B25" s="18" t="s">
        <v>63</v>
      </c>
      <c r="C25" s="21">
        <v>85</v>
      </c>
      <c r="D25" s="39">
        <f>(C23*E25)/C25</f>
        <v>633.10253936470588</v>
      </c>
      <c r="E25" s="40">
        <v>1</v>
      </c>
    </row>
    <row r="26" spans="2:7" ht="15.75" thickBot="1">
      <c r="B26" s="25" t="s">
        <v>15</v>
      </c>
      <c r="C26" s="38" t="s">
        <v>34</v>
      </c>
      <c r="D26" s="38" t="s">
        <v>35</v>
      </c>
      <c r="E26" s="26"/>
    </row>
    <row r="27" spans="2:7" ht="15.75" thickBot="1">
      <c r="B27" s="18" t="s">
        <v>44</v>
      </c>
      <c r="C27" s="44" t="s">
        <v>64</v>
      </c>
      <c r="D27" s="27">
        <f>D25</f>
        <v>633.10253936470588</v>
      </c>
      <c r="E27" s="28"/>
    </row>
    <row r="28" spans="2:7" ht="15.75" thickBot="1">
      <c r="B28" s="18" t="s">
        <v>53</v>
      </c>
      <c r="C28" s="56" t="s">
        <v>65</v>
      </c>
      <c r="D28" s="27">
        <f>D25/5</f>
        <v>126.62050787294118</v>
      </c>
      <c r="E28" s="28"/>
    </row>
    <row r="29" spans="2:7" ht="15.75" thickBot="1">
      <c r="B29" s="18" t="s">
        <v>33</v>
      </c>
      <c r="C29" s="19">
        <f>(D27+D28)*25</f>
        <v>18993.076180941178</v>
      </c>
      <c r="D29" s="27"/>
      <c r="E29" s="28"/>
    </row>
    <row r="30" spans="2:7" ht="15.75" thickBot="1">
      <c r="B30" s="18" t="s">
        <v>16</v>
      </c>
      <c r="C30" s="45">
        <f>C29/D5</f>
        <v>1.7026445757949886</v>
      </c>
      <c r="D30" s="27"/>
      <c r="E30" s="28"/>
    </row>
    <row r="31" spans="2:7" ht="15.75" thickBot="1">
      <c r="B31" s="371" t="s">
        <v>77</v>
      </c>
      <c r="C31" s="371"/>
      <c r="D31" s="22"/>
      <c r="E31" s="23"/>
      <c r="G31" t="s">
        <v>78</v>
      </c>
    </row>
    <row r="32" spans="2:7" ht="15.75" thickBot="1">
      <c r="B32" s="24" t="s">
        <v>14</v>
      </c>
      <c r="C32" s="19">
        <v>15365.3038</v>
      </c>
      <c r="D32" s="19"/>
      <c r="E32" s="20"/>
    </row>
    <row r="33" spans="2:7" ht="15.75" thickBot="1">
      <c r="B33" s="24" t="s">
        <v>17</v>
      </c>
      <c r="C33" s="19">
        <f>C34</f>
        <v>1690.1834180000001</v>
      </c>
      <c r="D33" s="19"/>
      <c r="E33" s="20"/>
    </row>
    <row r="34" spans="2:7" ht="15.75" thickBot="1">
      <c r="B34" s="29" t="s">
        <v>18</v>
      </c>
      <c r="C34" s="30">
        <f>C32*E34</f>
        <v>1690.1834180000001</v>
      </c>
      <c r="D34" s="19"/>
      <c r="E34" s="31">
        <v>0.11</v>
      </c>
    </row>
    <row r="35" spans="2:7" ht="15.75" thickBot="1">
      <c r="B35" s="29" t="s">
        <v>36</v>
      </c>
      <c r="C35" s="30">
        <f>((C32-C34)/80)*10</f>
        <v>1709.3900477500001</v>
      </c>
      <c r="D35" s="19"/>
      <c r="E35" s="32"/>
    </row>
    <row r="36" spans="2:7" ht="15.75" thickBot="1">
      <c r="B36" s="33" t="s">
        <v>19</v>
      </c>
      <c r="C36" s="30">
        <f>C35*E36</f>
        <v>683.75601910000012</v>
      </c>
      <c r="D36" s="19"/>
      <c r="E36" s="31">
        <v>0.4</v>
      </c>
    </row>
    <row r="37" spans="2:7" ht="15.75" thickBot="1">
      <c r="B37" s="29" t="s">
        <v>20</v>
      </c>
      <c r="C37" s="30">
        <f>C35*E37</f>
        <v>341.87800955000006</v>
      </c>
      <c r="D37" s="34"/>
      <c r="E37" s="35">
        <v>0.2</v>
      </c>
    </row>
    <row r="38" spans="2:7" ht="15.75" thickBot="1">
      <c r="B38" s="36" t="s">
        <v>21</v>
      </c>
      <c r="C38" s="37">
        <f>C32-C33</f>
        <v>13675.120381999999</v>
      </c>
      <c r="D38" s="34"/>
      <c r="E38" s="35">
        <f>C38/C32</f>
        <v>0.89</v>
      </c>
    </row>
    <row r="39" spans="2:7" ht="15.75" thickBot="1">
      <c r="B39" s="25" t="s">
        <v>68</v>
      </c>
      <c r="C39" s="38" t="s">
        <v>32</v>
      </c>
      <c r="D39" s="38" t="s">
        <v>22</v>
      </c>
      <c r="E39" s="26"/>
    </row>
    <row r="40" spans="2:7" ht="19.5" thickBot="1">
      <c r="B40" s="18" t="s">
        <v>62</v>
      </c>
      <c r="C40" s="21">
        <v>60</v>
      </c>
      <c r="D40" s="39">
        <f>(C38*E40)/C40</f>
        <v>227.91867303333331</v>
      </c>
      <c r="E40" s="40">
        <v>1</v>
      </c>
    </row>
    <row r="41" spans="2:7" ht="15.75" thickBot="1">
      <c r="B41" s="25" t="s">
        <v>15</v>
      </c>
      <c r="C41" s="38" t="s">
        <v>34</v>
      </c>
      <c r="D41" s="38" t="s">
        <v>35</v>
      </c>
      <c r="E41" s="26"/>
    </row>
    <row r="42" spans="2:7" ht="15.75" thickBot="1">
      <c r="B42" s="18" t="s">
        <v>44</v>
      </c>
      <c r="C42" s="44" t="s">
        <v>60</v>
      </c>
      <c r="D42" s="27">
        <f>D40/8</f>
        <v>28.489834129166663</v>
      </c>
      <c r="E42" s="28"/>
    </row>
    <row r="43" spans="2:7" ht="15.75" thickBot="1">
      <c r="B43" s="18" t="s">
        <v>53</v>
      </c>
      <c r="C43" s="56" t="s">
        <v>59</v>
      </c>
      <c r="D43" s="27">
        <f>D40/18</f>
        <v>12.662148501851851</v>
      </c>
      <c r="E43" s="28"/>
    </row>
    <row r="44" spans="2:7" ht="15.75" thickBot="1">
      <c r="B44" s="18" t="s">
        <v>33</v>
      </c>
      <c r="C44" s="19">
        <f>(D42+D43)*25</f>
        <v>1028.7995657754627</v>
      </c>
      <c r="D44" s="27"/>
      <c r="E44" s="28"/>
    </row>
    <row r="45" spans="2:7" ht="15.75" thickBot="1">
      <c r="B45" s="18" t="s">
        <v>16</v>
      </c>
      <c r="C45" s="45">
        <f>C44/D5</f>
        <v>9.2227292912433784E-2</v>
      </c>
      <c r="D45" s="27"/>
      <c r="E45" s="28"/>
    </row>
    <row r="46" spans="2:7" ht="15.75" thickBot="1">
      <c r="B46" s="371" t="s">
        <v>31</v>
      </c>
      <c r="C46" s="371"/>
      <c r="D46" s="22"/>
      <c r="E46" s="23"/>
      <c r="G46" t="s">
        <v>79</v>
      </c>
    </row>
    <row r="47" spans="2:7" ht="15.75" thickBot="1">
      <c r="B47" s="24" t="s">
        <v>14</v>
      </c>
      <c r="C47" s="19">
        <f>D13</f>
        <v>14574.4738</v>
      </c>
      <c r="D47" s="19"/>
      <c r="E47" s="20"/>
    </row>
    <row r="48" spans="2:7" ht="15.75" thickBot="1">
      <c r="B48" s="24" t="s">
        <v>17</v>
      </c>
      <c r="C48" s="19">
        <f>C49+C52+C65</f>
        <v>4729.747935166667</v>
      </c>
      <c r="D48" s="19"/>
      <c r="E48" s="20"/>
    </row>
    <row r="49" spans="2:7" ht="15.75" thickBot="1">
      <c r="B49" s="29" t="s">
        <v>18</v>
      </c>
      <c r="C49" s="30">
        <f>C47*E49</f>
        <v>4372.3421399999997</v>
      </c>
      <c r="D49" s="19"/>
      <c r="E49" s="31">
        <v>0.3</v>
      </c>
    </row>
    <row r="50" spans="2:7" ht="15.75" thickBot="1">
      <c r="B50" s="29" t="s">
        <v>37</v>
      </c>
      <c r="C50" s="30">
        <f>((C47-C49)/120)*10</f>
        <v>850.17763833333322</v>
      </c>
      <c r="D50" s="19"/>
      <c r="E50" s="32"/>
    </row>
    <row r="51" spans="2:7" ht="15.75" thickBot="1">
      <c r="B51" s="33" t="s">
        <v>19</v>
      </c>
      <c r="C51" s="30">
        <f>C50*E51</f>
        <v>340.07105533333333</v>
      </c>
      <c r="D51" s="19"/>
      <c r="E51" s="31">
        <v>0.4</v>
      </c>
    </row>
    <row r="52" spans="2:7" ht="15.75" thickBot="1">
      <c r="B52" s="29" t="s">
        <v>20</v>
      </c>
      <c r="C52" s="30">
        <f>C50*E52</f>
        <v>170.03552766666667</v>
      </c>
      <c r="D52" s="34"/>
      <c r="E52" s="35">
        <v>0.2</v>
      </c>
    </row>
    <row r="53" spans="2:7" ht="15.75" thickBot="1">
      <c r="B53" s="36" t="s">
        <v>21</v>
      </c>
      <c r="C53" s="37">
        <f>C47-C48</f>
        <v>9844.7258648333336</v>
      </c>
      <c r="D53" s="34"/>
      <c r="E53" s="35">
        <f>C53/C47</f>
        <v>0.67547727622477416</v>
      </c>
    </row>
    <row r="54" spans="2:7" ht="15.75" thickBot="1">
      <c r="B54" s="25" t="s">
        <v>54</v>
      </c>
      <c r="C54" s="38" t="s">
        <v>34</v>
      </c>
      <c r="D54" s="38" t="s">
        <v>35</v>
      </c>
      <c r="E54" s="26"/>
    </row>
    <row r="55" spans="2:7" ht="15.75" thickBot="1">
      <c r="B55" s="18" t="s">
        <v>44</v>
      </c>
      <c r="C55" s="44" t="s">
        <v>55</v>
      </c>
      <c r="D55" s="27">
        <f>C53/250</f>
        <v>39.378903459333337</v>
      </c>
      <c r="E55" s="28"/>
    </row>
    <row r="56" spans="2:7" ht="15.75" thickBot="1">
      <c r="B56" s="18" t="s">
        <v>53</v>
      </c>
      <c r="C56" s="44" t="s">
        <v>56</v>
      </c>
      <c r="D56" s="27">
        <f>C53/30</f>
        <v>328.15752882777781</v>
      </c>
      <c r="E56" s="28"/>
    </row>
    <row r="57" spans="2:7" ht="15.75" thickBot="1">
      <c r="B57" s="18" t="s">
        <v>33</v>
      </c>
      <c r="C57" s="19">
        <f>(D55+D56)*25</f>
        <v>9188.4108071777791</v>
      </c>
      <c r="D57" s="27"/>
      <c r="E57" s="28"/>
    </row>
    <row r="58" spans="2:7" ht="15.75" thickBot="1">
      <c r="B58" s="18" t="s">
        <v>16</v>
      </c>
      <c r="C58" s="45">
        <f>C57/D5</f>
        <v>0.82370005111210221</v>
      </c>
      <c r="D58" s="27"/>
      <c r="E58" s="28"/>
    </row>
    <row r="59" spans="2:7" ht="15.75" thickBot="1">
      <c r="B59" s="371" t="s">
        <v>47</v>
      </c>
      <c r="C59" s="371"/>
      <c r="D59" s="22"/>
      <c r="E59" s="23"/>
      <c r="G59" t="s">
        <v>80</v>
      </c>
    </row>
    <row r="60" spans="2:7" ht="15.75" thickBot="1">
      <c r="B60" s="24" t="s">
        <v>14</v>
      </c>
      <c r="C60" s="19">
        <f>D14</f>
        <v>14989.6214</v>
      </c>
      <c r="D60" s="19"/>
      <c r="E60" s="20"/>
    </row>
    <row r="61" spans="2:7" ht="15.75" thickBot="1">
      <c r="B61" s="24" t="s">
        <v>17</v>
      </c>
      <c r="C61" s="19">
        <f>C62</f>
        <v>3747.40535</v>
      </c>
      <c r="D61" s="19"/>
      <c r="E61" s="20"/>
    </row>
    <row r="62" spans="2:7" ht="15.75" thickBot="1">
      <c r="B62" s="29" t="s">
        <v>18</v>
      </c>
      <c r="C62" s="30">
        <f>C60*E62</f>
        <v>3747.40535</v>
      </c>
      <c r="D62" s="19"/>
      <c r="E62" s="31">
        <v>0.25</v>
      </c>
    </row>
    <row r="63" spans="2:7" ht="15.75" thickBot="1">
      <c r="B63" s="29" t="s">
        <v>37</v>
      </c>
      <c r="C63" s="30">
        <f>((C60-C62)/120)*10</f>
        <v>936.85133749999989</v>
      </c>
      <c r="D63" s="19"/>
      <c r="E63" s="32"/>
    </row>
    <row r="64" spans="2:7" ht="15.75" thickBot="1">
      <c r="B64" s="33" t="s">
        <v>19</v>
      </c>
      <c r="C64" s="30">
        <f>C63*E64</f>
        <v>374.74053499999997</v>
      </c>
      <c r="D64" s="19"/>
      <c r="E64" s="31">
        <v>0.4</v>
      </c>
    </row>
    <row r="65" spans="2:7" ht="15.75" thickBot="1">
      <c r="B65" s="29" t="s">
        <v>20</v>
      </c>
      <c r="C65" s="30">
        <f>C63*E65</f>
        <v>187.37026749999998</v>
      </c>
      <c r="D65" s="34"/>
      <c r="E65" s="35">
        <v>0.2</v>
      </c>
    </row>
    <row r="66" spans="2:7" ht="15.75" thickBot="1">
      <c r="B66" s="36" t="s">
        <v>21</v>
      </c>
      <c r="C66" s="37">
        <f>C60-C61</f>
        <v>11242.216049999999</v>
      </c>
      <c r="D66" s="34"/>
      <c r="E66" s="35">
        <f>C66/C60</f>
        <v>0.74999999999999989</v>
      </c>
    </row>
    <row r="67" spans="2:7" ht="15.75" thickBot="1">
      <c r="B67" s="25" t="s">
        <v>54</v>
      </c>
      <c r="C67" s="38" t="s">
        <v>34</v>
      </c>
      <c r="D67" s="38" t="s">
        <v>35</v>
      </c>
      <c r="E67" s="26"/>
    </row>
    <row r="68" spans="2:7" ht="15.75" thickBot="1">
      <c r="B68" s="18" t="s">
        <v>44</v>
      </c>
      <c r="C68" s="44" t="s">
        <v>57</v>
      </c>
      <c r="D68" s="27">
        <f>(C66/2)/40</f>
        <v>140.52770062499999</v>
      </c>
      <c r="E68" s="28"/>
    </row>
    <row r="69" spans="2:7" ht="15.75" thickBot="1">
      <c r="B69" s="18" t="s">
        <v>53</v>
      </c>
      <c r="C69" s="44" t="s">
        <v>58</v>
      </c>
      <c r="D69" s="27">
        <f>(C66/2)/50</f>
        <v>112.42216049999999</v>
      </c>
      <c r="E69" s="28"/>
    </row>
    <row r="70" spans="2:7" ht="15.75" thickBot="1">
      <c r="B70" s="18" t="s">
        <v>33</v>
      </c>
      <c r="C70" s="19">
        <f>(D68+D69)*25</f>
        <v>6323.7465281249997</v>
      </c>
      <c r="D70" s="27"/>
      <c r="E70" s="28"/>
    </row>
    <row r="71" spans="2:7" ht="15.75" thickBot="1">
      <c r="B71" s="18" t="s">
        <v>16</v>
      </c>
      <c r="C71" s="45">
        <f>C70/D5</f>
        <v>0.56689567409932184</v>
      </c>
      <c r="D71" s="27"/>
      <c r="E71" s="28"/>
    </row>
    <row r="72" spans="2:7" ht="15.75" thickBot="1">
      <c r="B72" s="371" t="s">
        <v>48</v>
      </c>
      <c r="C72" s="371"/>
      <c r="D72" s="22"/>
      <c r="E72" s="23"/>
      <c r="G72" t="s">
        <v>78</v>
      </c>
    </row>
    <row r="73" spans="2:7" ht="15.75" thickBot="1">
      <c r="B73" s="24" t="s">
        <v>14</v>
      </c>
      <c r="C73" s="19">
        <f>D15</f>
        <v>11530.478000000001</v>
      </c>
      <c r="D73" s="19"/>
      <c r="E73" s="20"/>
    </row>
    <row r="74" spans="2:7" ht="15.75" thickBot="1">
      <c r="B74" s="24" t="s">
        <v>17</v>
      </c>
      <c r="C74" s="19">
        <f>C75+C78</f>
        <v>3026.7504750000003</v>
      </c>
      <c r="D74" s="19"/>
      <c r="E74" s="20"/>
    </row>
    <row r="75" spans="2:7" ht="15.75" thickBot="1">
      <c r="B75" s="29" t="s">
        <v>18</v>
      </c>
      <c r="C75" s="30">
        <f>C73*E75</f>
        <v>2882.6195000000002</v>
      </c>
      <c r="D75" s="19"/>
      <c r="E75" s="31">
        <v>0.25</v>
      </c>
    </row>
    <row r="76" spans="2:7" ht="15.75" thickBot="1">
      <c r="B76" s="29" t="s">
        <v>66</v>
      </c>
      <c r="C76" s="30">
        <f>((C73-C75)/120)*10</f>
        <v>720.65487500000006</v>
      </c>
      <c r="D76" s="19"/>
      <c r="E76" s="32"/>
    </row>
    <row r="77" spans="2:7" ht="15.75" thickBot="1">
      <c r="B77" s="33" t="s">
        <v>19</v>
      </c>
      <c r="C77" s="30">
        <f>C76*E77</f>
        <v>288.26195000000001</v>
      </c>
      <c r="D77" s="19"/>
      <c r="E77" s="31">
        <v>0.4</v>
      </c>
    </row>
    <row r="78" spans="2:7" ht="15.75" thickBot="1">
      <c r="B78" s="29" t="s">
        <v>20</v>
      </c>
      <c r="C78" s="30">
        <f>C76*E78</f>
        <v>144.13097500000001</v>
      </c>
      <c r="D78" s="34"/>
      <c r="E78" s="35">
        <v>0.2</v>
      </c>
    </row>
    <row r="79" spans="2:7" ht="15.75" thickBot="1">
      <c r="B79" s="36" t="s">
        <v>21</v>
      </c>
      <c r="C79" s="37">
        <f>C73-C74</f>
        <v>8503.7275250000002</v>
      </c>
      <c r="D79" s="34"/>
      <c r="E79" s="35">
        <f>C79/C73</f>
        <v>0.73749999999999993</v>
      </c>
    </row>
    <row r="80" spans="2:7" ht="15.75" thickBot="1">
      <c r="B80" s="25" t="s">
        <v>54</v>
      </c>
      <c r="C80" s="38" t="s">
        <v>34</v>
      </c>
      <c r="D80" s="38" t="s">
        <v>35</v>
      </c>
      <c r="E80" s="26"/>
    </row>
    <row r="81" spans="2:7" ht="15.75" thickBot="1">
      <c r="B81" s="18" t="s">
        <v>44</v>
      </c>
      <c r="C81" s="44" t="s">
        <v>49</v>
      </c>
      <c r="D81" s="27">
        <f>(C79/2)/100</f>
        <v>42.518637625000004</v>
      </c>
      <c r="E81" s="28"/>
    </row>
    <row r="82" spans="2:7" ht="15.75" thickBot="1">
      <c r="B82" s="18" t="s">
        <v>53</v>
      </c>
      <c r="C82" s="44" t="s">
        <v>58</v>
      </c>
      <c r="D82" s="27">
        <f>(C79/2)/50</f>
        <v>85.037275250000008</v>
      </c>
      <c r="E82" s="28"/>
    </row>
    <row r="83" spans="2:7" ht="15.75" thickBot="1">
      <c r="B83" s="18" t="s">
        <v>33</v>
      </c>
      <c r="C83" s="19">
        <f>(D81+D82)*25</f>
        <v>3188.8978218750003</v>
      </c>
      <c r="D83" s="27"/>
      <c r="E83" s="28"/>
    </row>
    <row r="84" spans="2:7" ht="15.75" thickBot="1">
      <c r="B84" s="18" t="s">
        <v>16</v>
      </c>
      <c r="C84" s="45">
        <f>C83/D5</f>
        <v>0.2858704681355555</v>
      </c>
      <c r="D84" s="27"/>
      <c r="E84" s="28"/>
    </row>
    <row r="85" spans="2:7" ht="15.75" thickBot="1">
      <c r="B85" s="371" t="s">
        <v>45</v>
      </c>
      <c r="C85" s="371"/>
      <c r="D85" s="22"/>
      <c r="E85" s="23"/>
    </row>
    <row r="86" spans="2:7" ht="15.75" thickBot="1">
      <c r="B86" s="18" t="s">
        <v>46</v>
      </c>
      <c r="C86" s="44"/>
      <c r="D86" s="57">
        <f>C30+C45+C58+C71+C84</f>
        <v>3.4713380620544019</v>
      </c>
      <c r="E86" s="28"/>
    </row>
    <row r="87" spans="2:7" ht="15.75" thickBot="1">
      <c r="B87" s="369" t="s">
        <v>38</v>
      </c>
      <c r="C87" s="370"/>
      <c r="D87" s="4"/>
      <c r="E87" s="5"/>
      <c r="G87" t="s">
        <v>82</v>
      </c>
    </row>
    <row r="88" spans="2:7" ht="15.75" thickBot="1">
      <c r="B88" s="18" t="s">
        <v>43</v>
      </c>
      <c r="C88" s="21"/>
      <c r="D88" s="19">
        <v>3939.1457</v>
      </c>
      <c r="E88" s="43"/>
    </row>
    <row r="89" spans="2:7">
      <c r="D89" s="59"/>
    </row>
  </sheetData>
  <mergeCells count="11">
    <mergeCell ref="B2:E2"/>
    <mergeCell ref="B5:C5"/>
    <mergeCell ref="B11:C11"/>
    <mergeCell ref="B46:C46"/>
    <mergeCell ref="B72:C72"/>
    <mergeCell ref="B16:C16"/>
    <mergeCell ref="G16:G17"/>
    <mergeCell ref="B87:C87"/>
    <mergeCell ref="B31:C31"/>
    <mergeCell ref="B85:C85"/>
    <mergeCell ref="B59:C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2"/>
  <sheetViews>
    <sheetView workbookViewId="0">
      <selection activeCell="C23" sqref="C23"/>
    </sheetView>
  </sheetViews>
  <sheetFormatPr baseColWidth="10" defaultRowHeight="15"/>
  <cols>
    <col min="1" max="1" width="5.7109375" customWidth="1"/>
    <col min="2" max="2" width="45" customWidth="1"/>
    <col min="3" max="3" width="20.5703125" customWidth="1"/>
    <col min="4" max="4" width="14.7109375" customWidth="1"/>
    <col min="5" max="5" width="5.7109375" customWidth="1"/>
  </cols>
  <sheetData>
    <row r="2" spans="2:8">
      <c r="B2" s="373" t="s">
        <v>61</v>
      </c>
      <c r="C2" s="374"/>
      <c r="D2" s="374"/>
    </row>
    <row r="3" spans="2:8" ht="5.0999999999999996" customHeight="1" thickBot="1"/>
    <row r="4" spans="2:8" ht="15.75" thickBot="1">
      <c r="B4" s="1"/>
      <c r="C4" s="2" t="s">
        <v>0</v>
      </c>
      <c r="D4" s="3"/>
    </row>
    <row r="5" spans="2:8" ht="15.75" thickBot="1">
      <c r="B5" s="7" t="s">
        <v>2</v>
      </c>
      <c r="C5" s="4">
        <v>24277.355800000001</v>
      </c>
      <c r="D5" s="15">
        <v>1</v>
      </c>
      <c r="F5" s="6"/>
      <c r="G5" s="6"/>
    </row>
    <row r="6" spans="2:8" ht="15.75" thickBot="1">
      <c r="B6" s="9" t="s">
        <v>71</v>
      </c>
      <c r="C6" s="10">
        <f>C7</f>
        <v>1318.6065000000001</v>
      </c>
      <c r="D6" s="12">
        <f>C6/C5</f>
        <v>5.4314255261687108E-2</v>
      </c>
      <c r="F6" s="52"/>
      <c r="H6" s="6"/>
    </row>
    <row r="7" spans="2:8" ht="15.75" thickBot="1">
      <c r="B7" s="55" t="s">
        <v>72</v>
      </c>
      <c r="C7" s="19">
        <v>1318.6065000000001</v>
      </c>
      <c r="D7" s="43"/>
      <c r="H7" s="52"/>
    </row>
    <row r="8" spans="2:8" ht="15.75" thickBot="1">
      <c r="B8" s="9" t="s">
        <v>73</v>
      </c>
      <c r="C8" s="10">
        <f>C9</f>
        <v>208.666</v>
      </c>
      <c r="D8" s="12">
        <f>C8/C5</f>
        <v>8.5950876083465393E-3</v>
      </c>
      <c r="H8" s="6"/>
    </row>
    <row r="9" spans="2:8" ht="15.75" thickBot="1">
      <c r="B9" s="55" t="s">
        <v>72</v>
      </c>
      <c r="C9" s="19">
        <v>208.666</v>
      </c>
      <c r="D9" s="43"/>
      <c r="H9" s="6"/>
    </row>
    <row r="10" spans="2:8" ht="15.75" thickBot="1">
      <c r="B10" s="8" t="s">
        <v>5</v>
      </c>
      <c r="C10" s="10">
        <f>SUM(C11:C14)</f>
        <v>5615.1835000000001</v>
      </c>
      <c r="D10" s="12">
        <f>C10/C5</f>
        <v>0.23129304304219159</v>
      </c>
    </row>
    <row r="11" spans="2:8" ht="15.75" thickBot="1">
      <c r="B11" s="54" t="s">
        <v>42</v>
      </c>
      <c r="C11" s="30">
        <v>1125.1587999999999</v>
      </c>
      <c r="D11" s="43"/>
    </row>
    <row r="12" spans="2:8" ht="15.75" thickBot="1">
      <c r="B12" s="54" t="s">
        <v>50</v>
      </c>
      <c r="C12" s="30">
        <v>1247.3841</v>
      </c>
      <c r="D12" s="43"/>
    </row>
    <row r="13" spans="2:8" ht="15.75" thickBot="1">
      <c r="B13" s="54" t="s">
        <v>51</v>
      </c>
      <c r="C13" s="30">
        <v>799.5376</v>
      </c>
      <c r="D13" s="43"/>
    </row>
    <row r="14" spans="2:8" ht="15.75" thickBot="1">
      <c r="B14" s="54" t="s">
        <v>40</v>
      </c>
      <c r="C14" s="30">
        <v>2443.1030000000001</v>
      </c>
      <c r="D14" s="43"/>
    </row>
    <row r="15" spans="2:8" ht="15.75" thickBot="1">
      <c r="B15" s="13" t="s">
        <v>1</v>
      </c>
      <c r="C15" s="14">
        <f>SUM(C16:C18)</f>
        <v>17134.899800000003</v>
      </c>
      <c r="D15" s="15">
        <f>C15/C5</f>
        <v>0.70579761408777486</v>
      </c>
      <c r="F15" s="41"/>
      <c r="G15" s="6"/>
      <c r="H15" s="6"/>
    </row>
    <row r="16" spans="2:8" ht="15.75" thickBot="1">
      <c r="B16" s="53" t="s">
        <v>6</v>
      </c>
      <c r="C16" s="19">
        <v>7043.5132000000003</v>
      </c>
      <c r="D16" s="43"/>
      <c r="H16" s="41"/>
    </row>
    <row r="17" spans="2:8" ht="15.75" thickBot="1">
      <c r="B17" s="53" t="s">
        <v>7</v>
      </c>
      <c r="C17" s="19">
        <v>5399.9444000000003</v>
      </c>
      <c r="D17" s="43"/>
      <c r="H17" s="41"/>
    </row>
    <row r="18" spans="2:8" ht="15.75" thickBot="1">
      <c r="B18" s="53" t="s">
        <v>52</v>
      </c>
      <c r="C18" s="19">
        <v>4691.4422000000004</v>
      </c>
      <c r="D18" s="43"/>
    </row>
    <row r="19" spans="2:8">
      <c r="C19" s="6"/>
    </row>
    <row r="20" spans="2:8">
      <c r="C20" s="6"/>
    </row>
    <row r="21" spans="2:8">
      <c r="C21" s="6"/>
    </row>
    <row r="22" spans="2:8">
      <c r="C22" s="6"/>
    </row>
    <row r="23" spans="2:8">
      <c r="C23" s="6"/>
    </row>
    <row r="24" spans="2:8">
      <c r="C24" s="6"/>
    </row>
    <row r="25" spans="2:8">
      <c r="C25" s="6"/>
    </row>
    <row r="27" spans="2:8">
      <c r="C27" s="6"/>
    </row>
    <row r="29" spans="2:8">
      <c r="C29" s="6"/>
      <c r="D29" s="6"/>
      <c r="G29" s="6"/>
      <c r="H29" s="41"/>
    </row>
    <row r="30" spans="2:8">
      <c r="C30" s="6"/>
      <c r="D30" s="6"/>
      <c r="G30" s="6"/>
      <c r="H30" s="41"/>
    </row>
    <row r="31" spans="2:8">
      <c r="C31" s="6"/>
      <c r="D31" s="6"/>
      <c r="H31" s="41"/>
    </row>
    <row r="32" spans="2:8">
      <c r="C32" s="6"/>
      <c r="D32" s="41"/>
    </row>
  </sheetData>
  <mergeCells count="1">
    <mergeCell ref="B2:D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0"/>
  <sheetViews>
    <sheetView workbookViewId="0">
      <selection activeCell="C16" sqref="C16"/>
    </sheetView>
  </sheetViews>
  <sheetFormatPr baseColWidth="10" defaultRowHeight="15"/>
  <cols>
    <col min="1" max="1" width="5.7109375" customWidth="1"/>
    <col min="2" max="2" width="45" customWidth="1"/>
    <col min="3" max="3" width="20.5703125" customWidth="1"/>
    <col min="4" max="4" width="14.7109375" customWidth="1"/>
    <col min="5" max="5" width="5.7109375" customWidth="1"/>
  </cols>
  <sheetData>
    <row r="2" spans="2:7">
      <c r="B2" s="373" t="s">
        <v>61</v>
      </c>
      <c r="C2" s="374"/>
      <c r="D2" s="374"/>
    </row>
    <row r="3" spans="2:7" ht="5.0999999999999996" customHeight="1" thickBot="1"/>
    <row r="4" spans="2:7" ht="15.75" thickBot="1">
      <c r="B4" s="1"/>
      <c r="C4" s="2" t="s">
        <v>0</v>
      </c>
      <c r="D4" s="3"/>
    </row>
    <row r="5" spans="2:7" ht="15.75" thickBot="1">
      <c r="B5" s="7" t="s">
        <v>2</v>
      </c>
      <c r="C5" s="4">
        <v>24277.355800000001</v>
      </c>
      <c r="D5" s="15">
        <v>1</v>
      </c>
    </row>
    <row r="6" spans="2:7" ht="15.75" thickBot="1">
      <c r="B6" s="9" t="s">
        <v>74</v>
      </c>
      <c r="C6" s="10">
        <f>C7+C8</f>
        <v>2900.0475999999999</v>
      </c>
      <c r="D6" s="11"/>
      <c r="F6" s="6"/>
    </row>
    <row r="7" spans="2:7" ht="15.75" thickBot="1">
      <c r="B7" s="53" t="s">
        <v>70</v>
      </c>
      <c r="C7" s="19">
        <v>224.3954</v>
      </c>
      <c r="D7" s="43"/>
    </row>
    <row r="8" spans="2:7" ht="15.75" thickBot="1">
      <c r="B8" s="53" t="s">
        <v>26</v>
      </c>
      <c r="C8" s="19">
        <v>2675.6522</v>
      </c>
      <c r="D8" s="43"/>
      <c r="F8" s="6"/>
    </row>
    <row r="9" spans="2:7" ht="15.75" thickBot="1">
      <c r="B9" s="7" t="s">
        <v>3</v>
      </c>
      <c r="C9" s="4">
        <f>C5-C6</f>
        <v>21377.308199999999</v>
      </c>
      <c r="D9" s="16">
        <f>C9/C5</f>
        <v>0.88054516217124434</v>
      </c>
      <c r="F9" s="6"/>
      <c r="G9" s="6"/>
    </row>
    <row r="10" spans="2:7" ht="15.75" thickBot="1">
      <c r="B10" s="8" t="s">
        <v>25</v>
      </c>
      <c r="C10" s="10">
        <f>C11+C13+C15</f>
        <v>3245.5626000000002</v>
      </c>
      <c r="D10" s="12"/>
    </row>
    <row r="11" spans="2:7" ht="15.75" thickBot="1">
      <c r="B11" s="46" t="s">
        <v>70</v>
      </c>
      <c r="C11" s="48">
        <f>C12</f>
        <v>498.90249999999997</v>
      </c>
      <c r="D11" s="42"/>
    </row>
    <row r="12" spans="2:7" ht="15.75" thickBot="1">
      <c r="B12" s="54" t="s">
        <v>69</v>
      </c>
      <c r="C12" s="30">
        <v>498.90249999999997</v>
      </c>
      <c r="D12" s="43"/>
    </row>
    <row r="13" spans="2:7" ht="15.75" thickBot="1">
      <c r="B13" s="46" t="s">
        <v>26</v>
      </c>
      <c r="C13" s="48">
        <f>C14</f>
        <v>1205.7012999999999</v>
      </c>
      <c r="D13" s="42"/>
    </row>
    <row r="14" spans="2:7" ht="15.75" thickBot="1">
      <c r="B14" s="54" t="s">
        <v>69</v>
      </c>
      <c r="C14" s="30">
        <v>1205.7012999999999</v>
      </c>
      <c r="D14" s="43"/>
    </row>
    <row r="15" spans="2:7" ht="15.75" thickBot="1">
      <c r="B15" s="47" t="s">
        <v>27</v>
      </c>
      <c r="C15" s="48">
        <f>C16</f>
        <v>1540.9588000000001</v>
      </c>
      <c r="D15" s="42"/>
    </row>
    <row r="16" spans="2:7" ht="15.75" thickBot="1">
      <c r="B16" s="54" t="s">
        <v>39</v>
      </c>
      <c r="C16" s="30">
        <v>1540.9588000000001</v>
      </c>
      <c r="D16" s="43"/>
    </row>
    <row r="17" spans="2:8" ht="15.75" thickBot="1">
      <c r="B17" s="8" t="s">
        <v>5</v>
      </c>
      <c r="C17" s="10">
        <f>C18</f>
        <v>2531.6322</v>
      </c>
      <c r="D17" s="12"/>
    </row>
    <row r="18" spans="2:8" ht="15.75" thickBot="1">
      <c r="B18" s="46" t="s">
        <v>40</v>
      </c>
      <c r="C18" s="48">
        <f>C19+C20</f>
        <v>2531.6322</v>
      </c>
      <c r="D18" s="42"/>
    </row>
    <row r="19" spans="2:8" ht="15.75" thickBot="1">
      <c r="B19" s="54" t="s">
        <v>39</v>
      </c>
      <c r="C19" s="30">
        <v>817.33609999999999</v>
      </c>
      <c r="D19" s="43"/>
    </row>
    <row r="20" spans="2:8" ht="15.75" thickBot="1">
      <c r="B20" s="54" t="s">
        <v>41</v>
      </c>
      <c r="C20" s="30">
        <v>1714.2961</v>
      </c>
      <c r="D20" s="43"/>
    </row>
    <row r="21" spans="2:8" ht="15.75" thickBot="1">
      <c r="B21" s="8" t="s">
        <v>4</v>
      </c>
      <c r="C21" s="10">
        <f>C22</f>
        <v>4445.05</v>
      </c>
      <c r="D21" s="12"/>
    </row>
    <row r="22" spans="2:8" ht="15.75" thickBot="1">
      <c r="B22" s="46" t="s">
        <v>28</v>
      </c>
      <c r="C22" s="48">
        <f>C23</f>
        <v>4445.05</v>
      </c>
      <c r="D22" s="49">
        <f>C22/C9</f>
        <v>0.20793310169893139</v>
      </c>
      <c r="F22" s="50"/>
      <c r="G22" s="51"/>
    </row>
    <row r="23" spans="2:8" ht="15.75" thickBot="1">
      <c r="B23" s="54" t="s">
        <v>75</v>
      </c>
      <c r="C23" s="30">
        <v>4445.05</v>
      </c>
      <c r="D23" s="43"/>
    </row>
    <row r="24" spans="2:8" ht="15.75" thickBot="1">
      <c r="B24" s="13" t="s">
        <v>10</v>
      </c>
      <c r="C24" s="14">
        <f>SUM(C25:C25)</f>
        <v>11155.044599999999</v>
      </c>
      <c r="D24" s="16">
        <f>C24/C5</f>
        <v>0.45948350767261065</v>
      </c>
      <c r="F24" s="41"/>
      <c r="G24" s="6"/>
    </row>
    <row r="25" spans="2:8" ht="15.75" thickBot="1">
      <c r="B25" s="53" t="s">
        <v>76</v>
      </c>
      <c r="C25" s="19">
        <v>11155.044599999999</v>
      </c>
      <c r="D25" s="43"/>
      <c r="F25" s="58"/>
      <c r="H25" s="41"/>
    </row>
    <row r="26" spans="2:8">
      <c r="C26" s="6"/>
    </row>
    <row r="27" spans="2:8">
      <c r="C27" s="6"/>
    </row>
    <row r="28" spans="2:8">
      <c r="C28" s="6"/>
    </row>
    <row r="29" spans="2:8">
      <c r="C29" s="6"/>
    </row>
    <row r="30" spans="2:8">
      <c r="C30" s="6"/>
    </row>
    <row r="31" spans="2:8">
      <c r="C31" s="6"/>
    </row>
    <row r="32" spans="2:8">
      <c r="C32" s="6"/>
    </row>
    <row r="33" spans="3:8">
      <c r="C33" s="6"/>
    </row>
    <row r="35" spans="3:8">
      <c r="C35" s="6"/>
    </row>
    <row r="37" spans="3:8">
      <c r="C37" s="6"/>
      <c r="D37" s="6"/>
      <c r="G37" s="6"/>
      <c r="H37" s="41"/>
    </row>
    <row r="38" spans="3:8">
      <c r="C38" s="6"/>
      <c r="D38" s="6"/>
      <c r="G38" s="6"/>
      <c r="H38" s="41"/>
    </row>
    <row r="39" spans="3:8">
      <c r="C39" s="6"/>
      <c r="D39" s="6"/>
      <c r="H39" s="41"/>
    </row>
    <row r="40" spans="3:8">
      <c r="C40" s="6"/>
      <c r="D40" s="4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Y CARGAS  PP-CU</vt:lpstr>
      <vt:lpstr>Área Útil</vt:lpstr>
      <vt:lpstr>ÁREAS EXISTENTES</vt:lpstr>
      <vt:lpstr>ÁREAS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ZORRO</dc:creator>
  <cp:lastModifiedBy>Mauricio illera reyes</cp:lastModifiedBy>
  <dcterms:created xsi:type="dcterms:W3CDTF">2018-09-12T21:55:10Z</dcterms:created>
  <dcterms:modified xsi:type="dcterms:W3CDTF">2022-12-18T20:32:49Z</dcterms:modified>
</cp:coreProperties>
</file>